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Thanh Nam\Quyet toan ngan sach\Nam 2025\426\Thong bao\"/>
    </mc:Choice>
  </mc:AlternateContent>
  <bookViews>
    <workbookView xWindow="0" yWindow="0" windowWidth="28800" windowHeight="11025" tabRatio="583" firstSheet="2" activeTab="4"/>
  </bookViews>
  <sheets>
    <sheet name="foxz" sheetId="4" state="veryHidden" r:id="rId1"/>
    <sheet name="2389" sheetId="47" state="hidden" r:id="rId2"/>
    <sheet name="Bieu01kemBB.ok" sheetId="39" r:id="rId3"/>
    <sheet name="TH.VPS" sheetId="44" r:id="rId4"/>
    <sheet name="TH.VPĐK" sheetId="43" r:id="rId5"/>
  </sheets>
  <definedNames>
    <definedName name="_xlnm.Print_Area" localSheetId="2">Bieu01kemBB.ok!$A$1:$Q$31</definedName>
    <definedName name="_xlnm.Print_Area" localSheetId="4">TH.VPĐK!$A$1:$K$18</definedName>
    <definedName name="_xlnm.Print_Area" localSheetId="3">TH.VPS!$A$1:$S$20</definedName>
    <definedName name="_xlnm.Print_Titles" localSheetId="2">Bieu01kemBB.ok!$A:$D,Bieu01kemBB.ok!$5:$7</definedName>
    <definedName name="_xlnm.Print_Titles" localSheetId="4">TH.VPĐK!$5:$7</definedName>
    <definedName name="_xlnm.Print_Titles" localSheetId="3">TH.VPS!$5:$7</definedName>
  </definedNames>
  <calcPr calcId="162913"/>
</workbook>
</file>

<file path=xl/calcChain.xml><?xml version="1.0" encoding="utf-8"?>
<calcChain xmlns="http://schemas.openxmlformats.org/spreadsheetml/2006/main">
  <c r="I16" i="43" l="1"/>
  <c r="E16" i="43"/>
  <c r="F16" i="43"/>
  <c r="G16" i="43"/>
  <c r="M16" i="39" l="1"/>
  <c r="M13" i="39"/>
  <c r="M23" i="39"/>
  <c r="M27" i="39" l="1"/>
  <c r="M30" i="39"/>
  <c r="L27" i="39"/>
  <c r="L30" i="39"/>
  <c r="I15" i="43" l="1"/>
  <c r="I17" i="43"/>
  <c r="F17" i="43"/>
  <c r="F15" i="43" s="1"/>
  <c r="G17" i="43"/>
  <c r="G15" i="43" s="1"/>
  <c r="E17" i="43"/>
  <c r="E15" i="43" s="1"/>
  <c r="M12" i="39"/>
  <c r="M19" i="39"/>
  <c r="O30" i="39" l="1"/>
  <c r="M26" i="39"/>
  <c r="H30" i="39" l="1"/>
  <c r="H27" i="39"/>
  <c r="H28" i="39"/>
  <c r="H26" i="39"/>
  <c r="O26" i="39" l="1"/>
  <c r="O19" i="44" l="1"/>
  <c r="C19" i="44" s="1"/>
  <c r="O17" i="44"/>
  <c r="O13" i="44"/>
  <c r="O10" i="44"/>
  <c r="O9" i="44" s="1"/>
  <c r="O14" i="44"/>
  <c r="O12" i="44"/>
  <c r="D8" i="44"/>
  <c r="E8" i="44"/>
  <c r="E15" i="44" s="1"/>
  <c r="F8" i="44"/>
  <c r="G8" i="44"/>
  <c r="H8" i="44"/>
  <c r="I8" i="44"/>
  <c r="J8" i="44"/>
  <c r="K8" i="44"/>
  <c r="L8" i="44"/>
  <c r="M8" i="44"/>
  <c r="N8" i="44"/>
  <c r="P8" i="44"/>
  <c r="Q8" i="44"/>
  <c r="J18" i="44"/>
  <c r="K18" i="44"/>
  <c r="L18" i="44"/>
  <c r="M18" i="44"/>
  <c r="N18" i="44"/>
  <c r="P18" i="44"/>
  <c r="Q18" i="44"/>
  <c r="F18" i="44"/>
  <c r="E16" i="44"/>
  <c r="F16" i="44"/>
  <c r="G16" i="44"/>
  <c r="H16" i="44"/>
  <c r="I16" i="44"/>
  <c r="J16" i="44"/>
  <c r="K16" i="44"/>
  <c r="L16" i="44"/>
  <c r="M16" i="44"/>
  <c r="N16" i="44"/>
  <c r="P16" i="44"/>
  <c r="Q16" i="44"/>
  <c r="E11" i="44"/>
  <c r="J11" i="44"/>
  <c r="K11" i="44"/>
  <c r="L11" i="44"/>
  <c r="M11" i="44"/>
  <c r="N11" i="44"/>
  <c r="P11" i="44"/>
  <c r="Q11" i="44"/>
  <c r="O8" i="44" l="1"/>
  <c r="O11" i="44"/>
  <c r="O18" i="44" s="1"/>
  <c r="O16" i="44" s="1"/>
  <c r="X10" i="39"/>
  <c r="X9" i="39" s="1"/>
  <c r="X8" i="39" s="1"/>
  <c r="O23" i="39" l="1"/>
  <c r="U29" i="39"/>
  <c r="U25" i="39"/>
  <c r="U24" i="39" s="1"/>
  <c r="AA23" i="39"/>
  <c r="W23" i="39" l="1"/>
  <c r="AA13" i="39"/>
  <c r="AA10" i="39" s="1"/>
  <c r="K12" i="39"/>
  <c r="T12" i="39" s="1"/>
  <c r="V28" i="39"/>
  <c r="V19" i="39"/>
  <c r="V15" i="39"/>
  <c r="V14" i="39"/>
  <c r="Y30" i="39"/>
  <c r="Y28" i="39"/>
  <c r="W28" i="39" s="1"/>
  <c r="Y27" i="39"/>
  <c r="W27" i="39" s="1"/>
  <c r="Y26" i="39"/>
  <c r="Y23" i="39"/>
  <c r="U23" i="39" s="1"/>
  <c r="Y22" i="39"/>
  <c r="W22" i="39" s="1"/>
  <c r="Y20" i="39"/>
  <c r="V20" i="39" s="1"/>
  <c r="Y19" i="39"/>
  <c r="Y18" i="39"/>
  <c r="Y17" i="39"/>
  <c r="Y16" i="39"/>
  <c r="Y15" i="39"/>
  <c r="Y14" i="39"/>
  <c r="Y12" i="39"/>
  <c r="Y11" i="39"/>
  <c r="AE29" i="39"/>
  <c r="AD29" i="39"/>
  <c r="AE25" i="39"/>
  <c r="AD25" i="39"/>
  <c r="AD24" i="39" s="1"/>
  <c r="AE21" i="39"/>
  <c r="AD21" i="39"/>
  <c r="AE10" i="39"/>
  <c r="AE9" i="39" s="1"/>
  <c r="AD10" i="39"/>
  <c r="AC29" i="39"/>
  <c r="AB29" i="39"/>
  <c r="AA29" i="39"/>
  <c r="Z29" i="39"/>
  <c r="AC25" i="39"/>
  <c r="AC24" i="39" s="1"/>
  <c r="AB25" i="39"/>
  <c r="AB24" i="39" s="1"/>
  <c r="AA25" i="39"/>
  <c r="AA24" i="39" s="1"/>
  <c r="Z25" i="39"/>
  <c r="Z24" i="39" s="1"/>
  <c r="AC21" i="39"/>
  <c r="AB21" i="39"/>
  <c r="AA21" i="39"/>
  <c r="Z21" i="39"/>
  <c r="AC10" i="39"/>
  <c r="AB10" i="39"/>
  <c r="Z10" i="39"/>
  <c r="V11" i="39" l="1"/>
  <c r="U11" i="39"/>
  <c r="W11" i="39"/>
  <c r="W17" i="39"/>
  <c r="U17" i="39"/>
  <c r="AD9" i="39"/>
  <c r="W14" i="39"/>
  <c r="U14" i="39"/>
  <c r="U18" i="39"/>
  <c r="W18" i="39"/>
  <c r="V17" i="39"/>
  <c r="V22" i="39"/>
  <c r="V16" i="39"/>
  <c r="U16" i="39"/>
  <c r="W16" i="39"/>
  <c r="W20" i="39"/>
  <c r="U20" i="39"/>
  <c r="AC9" i="39"/>
  <c r="AC8" i="39" s="1"/>
  <c r="U12" i="39"/>
  <c r="W12" i="39"/>
  <c r="Z9" i="39"/>
  <c r="Z8" i="39" s="1"/>
  <c r="U15" i="39"/>
  <c r="W15" i="39"/>
  <c r="W19" i="39"/>
  <c r="U19" i="39"/>
  <c r="V12" i="39"/>
  <c r="V18" i="39"/>
  <c r="V27" i="39"/>
  <c r="AD8" i="39"/>
  <c r="Y25" i="39"/>
  <c r="Y24" i="39" s="1"/>
  <c r="W26" i="39"/>
  <c r="W25" i="39" s="1"/>
  <c r="V26" i="39"/>
  <c r="Y29" i="39"/>
  <c r="W30" i="39"/>
  <c r="W29" i="39" s="1"/>
  <c r="V30" i="39"/>
  <c r="V29" i="39" s="1"/>
  <c r="AE24" i="39"/>
  <c r="AE8" i="39" s="1"/>
  <c r="W21" i="39"/>
  <c r="V23" i="39"/>
  <c r="V21" i="39" s="1"/>
  <c r="Y21" i="39"/>
  <c r="U22" i="39"/>
  <c r="U21" i="39" s="1"/>
  <c r="Y13" i="39"/>
  <c r="AB9" i="39"/>
  <c r="AB8" i="39" s="1"/>
  <c r="AA9" i="39"/>
  <c r="AA8" i="39" s="1"/>
  <c r="Q15" i="44"/>
  <c r="D13" i="44"/>
  <c r="C13" i="44" s="1"/>
  <c r="D12" i="44"/>
  <c r="C12" i="44" s="1"/>
  <c r="C11" i="44" s="1"/>
  <c r="I17" i="44"/>
  <c r="V25" i="39" l="1"/>
  <c r="V24" i="39" s="1"/>
  <c r="W24" i="39"/>
  <c r="W13" i="39"/>
  <c r="W10" i="39" s="1"/>
  <c r="W9" i="39" s="1"/>
  <c r="W8" i="39" s="1"/>
  <c r="U13" i="39"/>
  <c r="U10" i="39" s="1"/>
  <c r="U9" i="39" s="1"/>
  <c r="U8" i="39" s="1"/>
  <c r="V13" i="39"/>
  <c r="V10" i="39" s="1"/>
  <c r="V9" i="39" s="1"/>
  <c r="Y10" i="39"/>
  <c r="Y9" i="39" s="1"/>
  <c r="Y8" i="39" s="1"/>
  <c r="V8" i="39" l="1"/>
  <c r="H21" i="39"/>
  <c r="L21" i="39"/>
  <c r="M21" i="39"/>
  <c r="O21" i="39"/>
  <c r="E21" i="39"/>
  <c r="T23" i="39"/>
  <c r="K23" i="39"/>
  <c r="P23" i="39" s="1"/>
  <c r="I23" i="39"/>
  <c r="J23" i="39" s="1"/>
  <c r="N23" i="39" s="1"/>
  <c r="G23" i="39"/>
  <c r="F23" i="39"/>
  <c r="K19" i="39"/>
  <c r="T19" i="39" s="1"/>
  <c r="I19" i="39"/>
  <c r="J19" i="39" s="1"/>
  <c r="N19" i="39" s="1"/>
  <c r="G19" i="39"/>
  <c r="F19" i="39"/>
  <c r="P19" i="39" l="1"/>
  <c r="I26" i="39" l="1"/>
  <c r="I71" i="47" l="1"/>
  <c r="G71" i="47"/>
  <c r="H71" i="47" s="1"/>
  <c r="H70" i="47" s="1"/>
  <c r="H69" i="47" s="1"/>
  <c r="H68" i="47" s="1"/>
  <c r="H67" i="47" s="1"/>
  <c r="I70" i="47"/>
  <c r="I69" i="47" s="1"/>
  <c r="I68" i="47" s="1"/>
  <c r="I67" i="47" s="1"/>
  <c r="G70" i="47"/>
  <c r="G69" i="47" s="1"/>
  <c r="G68" i="47" s="1"/>
  <c r="G67" i="47" s="1"/>
  <c r="F70" i="47"/>
  <c r="E70" i="47"/>
  <c r="E69" i="47" s="1"/>
  <c r="E68" i="47" s="1"/>
  <c r="E67" i="47" s="1"/>
  <c r="D70" i="47"/>
  <c r="D69" i="47" s="1"/>
  <c r="D68" i="47" s="1"/>
  <c r="D67" i="47" s="1"/>
  <c r="C70" i="47"/>
  <c r="B70" i="47"/>
  <c r="F69" i="47"/>
  <c r="F68" i="47" s="1"/>
  <c r="F67" i="47" s="1"/>
  <c r="C69" i="47"/>
  <c r="C68" i="47" s="1"/>
  <c r="C67" i="47" s="1"/>
  <c r="B69" i="47"/>
  <c r="B68" i="47"/>
  <c r="B67" i="47" s="1"/>
  <c r="I66" i="47"/>
  <c r="I64" i="47" s="1"/>
  <c r="G66" i="47"/>
  <c r="I65" i="47"/>
  <c r="G65" i="47"/>
  <c r="H65" i="47" s="1"/>
  <c r="F64" i="47"/>
  <c r="E64" i="47"/>
  <c r="D64" i="47"/>
  <c r="D60" i="47" s="1"/>
  <c r="D59" i="47" s="1"/>
  <c r="C64" i="47"/>
  <c r="B64" i="47"/>
  <c r="I63" i="47"/>
  <c r="G63" i="47"/>
  <c r="H63" i="47" s="1"/>
  <c r="I62" i="47"/>
  <c r="G62" i="47"/>
  <c r="H62" i="47" s="1"/>
  <c r="G61" i="47"/>
  <c r="F61" i="47"/>
  <c r="E61" i="47"/>
  <c r="D61" i="47"/>
  <c r="C61" i="47"/>
  <c r="C60" i="47" s="1"/>
  <c r="C59" i="47" s="1"/>
  <c r="B61" i="47"/>
  <c r="B60" i="47" s="1"/>
  <c r="B59" i="47" s="1"/>
  <c r="F60" i="47"/>
  <c r="F59" i="47" s="1"/>
  <c r="E60" i="47"/>
  <c r="E59" i="47" s="1"/>
  <c r="I58" i="47"/>
  <c r="I56" i="47" s="1"/>
  <c r="G58" i="47"/>
  <c r="I57" i="47"/>
  <c r="G57" i="47"/>
  <c r="H57" i="47" s="1"/>
  <c r="F56" i="47"/>
  <c r="E56" i="47"/>
  <c r="D56" i="47"/>
  <c r="C56" i="47"/>
  <c r="B56" i="47"/>
  <c r="I55" i="47"/>
  <c r="G55" i="47"/>
  <c r="H55" i="47" s="1"/>
  <c r="I54" i="47"/>
  <c r="G54" i="47"/>
  <c r="H54" i="47" s="1"/>
  <c r="G53" i="47"/>
  <c r="F53" i="47"/>
  <c r="E53" i="47"/>
  <c r="D53" i="47"/>
  <c r="C53" i="47"/>
  <c r="B53" i="47"/>
  <c r="I52" i="47"/>
  <c r="G52" i="47"/>
  <c r="H52" i="47" s="1"/>
  <c r="I51" i="47"/>
  <c r="I49" i="47" s="1"/>
  <c r="D51" i="47"/>
  <c r="G51" i="47" s="1"/>
  <c r="I50" i="47"/>
  <c r="G50" i="47"/>
  <c r="H50" i="47" s="1"/>
  <c r="F49" i="47"/>
  <c r="F48" i="47" s="1"/>
  <c r="F46" i="47" s="1"/>
  <c r="F45" i="47" s="1"/>
  <c r="E49" i="47"/>
  <c r="E48" i="47" s="1"/>
  <c r="E46" i="47" s="1"/>
  <c r="E45" i="47" s="1"/>
  <c r="C49" i="47"/>
  <c r="C48" i="47" s="1"/>
  <c r="C46" i="47" s="1"/>
  <c r="C45" i="47" s="1"/>
  <c r="B49" i="47"/>
  <c r="B48" i="47" s="1"/>
  <c r="B46" i="47" s="1"/>
  <c r="I44" i="47"/>
  <c r="D44" i="47"/>
  <c r="D41" i="47" s="1"/>
  <c r="I43" i="47"/>
  <c r="I41" i="47" s="1"/>
  <c r="G43" i="47"/>
  <c r="I42" i="47"/>
  <c r="H42" i="47"/>
  <c r="G42" i="47"/>
  <c r="F41" i="47"/>
  <c r="E41" i="47"/>
  <c r="E35" i="47" s="1"/>
  <c r="E33" i="47" s="1"/>
  <c r="E32" i="47" s="1"/>
  <c r="E31" i="47" s="1"/>
  <c r="C41" i="47"/>
  <c r="B41" i="47"/>
  <c r="I40" i="47"/>
  <c r="B40" i="47"/>
  <c r="G40" i="47" s="1"/>
  <c r="H40" i="47" s="1"/>
  <c r="I39" i="47"/>
  <c r="G39" i="47"/>
  <c r="H39" i="47" s="1"/>
  <c r="D39" i="47"/>
  <c r="D36" i="47" s="1"/>
  <c r="D35" i="47" s="1"/>
  <c r="D33" i="47" s="1"/>
  <c r="I38" i="47"/>
  <c r="D38" i="47"/>
  <c r="G38" i="47" s="1"/>
  <c r="H38" i="47" s="1"/>
  <c r="I37" i="47"/>
  <c r="B37" i="47"/>
  <c r="G37" i="47" s="1"/>
  <c r="I36" i="47"/>
  <c r="F36" i="47"/>
  <c r="E36" i="47"/>
  <c r="C36" i="47"/>
  <c r="C35" i="47" s="1"/>
  <c r="C33" i="47" s="1"/>
  <c r="C32" i="47" s="1"/>
  <c r="C31" i="47" s="1"/>
  <c r="F35" i="47"/>
  <c r="F33" i="47" s="1"/>
  <c r="F32" i="47" s="1"/>
  <c r="F31" i="47" s="1"/>
  <c r="G29" i="47"/>
  <c r="G28" i="47"/>
  <c r="G27" i="47"/>
  <c r="J26" i="47"/>
  <c r="I26" i="47"/>
  <c r="H26" i="47"/>
  <c r="G26" i="47"/>
  <c r="F26" i="47"/>
  <c r="E26" i="47"/>
  <c r="D26" i="47"/>
  <c r="C26" i="47"/>
  <c r="B26" i="47"/>
  <c r="G25" i="47"/>
  <c r="G24" i="47"/>
  <c r="G23" i="47" s="1"/>
  <c r="I23" i="47"/>
  <c r="H23" i="47"/>
  <c r="F23" i="47"/>
  <c r="E23" i="47"/>
  <c r="D23" i="47"/>
  <c r="C23" i="47"/>
  <c r="C9" i="47" s="1"/>
  <c r="C30" i="47" s="1"/>
  <c r="B23" i="47"/>
  <c r="G22" i="47"/>
  <c r="G21" i="47"/>
  <c r="G20" i="47"/>
  <c r="G19" i="47"/>
  <c r="G18" i="47"/>
  <c r="G17" i="47"/>
  <c r="G16" i="47"/>
  <c r="G15" i="47"/>
  <c r="G14" i="47"/>
  <c r="G13" i="47"/>
  <c r="G12" i="47"/>
  <c r="G11" i="47"/>
  <c r="I10" i="47"/>
  <c r="H10" i="47"/>
  <c r="F10" i="47"/>
  <c r="F9" i="47" s="1"/>
  <c r="F30" i="47" s="1"/>
  <c r="E10" i="47"/>
  <c r="E9" i="47" s="1"/>
  <c r="E30" i="47" s="1"/>
  <c r="D10" i="47"/>
  <c r="C10" i="47"/>
  <c r="B10" i="47"/>
  <c r="B9" i="47" s="1"/>
  <c r="B30" i="47" s="1"/>
  <c r="I9" i="47"/>
  <c r="H9" i="47"/>
  <c r="D9" i="47"/>
  <c r="D30" i="47" s="1"/>
  <c r="B45" i="47" l="1"/>
  <c r="H37" i="47"/>
  <c r="G36" i="47"/>
  <c r="H64" i="47"/>
  <c r="B36" i="47"/>
  <c r="B35" i="47" s="1"/>
  <c r="B33" i="47" s="1"/>
  <c r="B32" i="47" s="1"/>
  <c r="B31" i="47" s="1"/>
  <c r="H30" i="47"/>
  <c r="I30" i="47"/>
  <c r="I53" i="47"/>
  <c r="I48" i="47" s="1"/>
  <c r="I46" i="47" s="1"/>
  <c r="I61" i="47"/>
  <c r="I60" i="47" s="1"/>
  <c r="I59" i="47" s="1"/>
  <c r="H43" i="47"/>
  <c r="G44" i="47"/>
  <c r="G10" i="47"/>
  <c r="G9" i="47" s="1"/>
  <c r="G30" i="47" s="1"/>
  <c r="I35" i="47"/>
  <c r="I33" i="47" s="1"/>
  <c r="H58" i="47"/>
  <c r="H56" i="47" s="1"/>
  <c r="H66" i="47"/>
  <c r="H36" i="47"/>
  <c r="H53" i="47"/>
  <c r="H61" i="47"/>
  <c r="H51" i="47"/>
  <c r="H49" i="47" s="1"/>
  <c r="H48" i="47" s="1"/>
  <c r="G49" i="47"/>
  <c r="G48" i="47" s="1"/>
  <c r="G56" i="47"/>
  <c r="G64" i="47"/>
  <c r="G60" i="47" s="1"/>
  <c r="G59" i="47" s="1"/>
  <c r="D49" i="47"/>
  <c r="D48" i="47" s="1"/>
  <c r="D46" i="47" s="1"/>
  <c r="D45" i="47" s="1"/>
  <c r="D32" i="47" s="1"/>
  <c r="D31" i="47" s="1"/>
  <c r="H46" i="47" l="1"/>
  <c r="H60" i="47"/>
  <c r="H59" i="47" s="1"/>
  <c r="I45" i="47"/>
  <c r="I32" i="47" s="1"/>
  <c r="I31" i="47" s="1"/>
  <c r="H44" i="47"/>
  <c r="H41" i="47" s="1"/>
  <c r="H35" i="47" s="1"/>
  <c r="H33" i="47" s="1"/>
  <c r="G41" i="47"/>
  <c r="G35" i="47" s="1"/>
  <c r="G33" i="47" s="1"/>
  <c r="G46" i="47"/>
  <c r="G45" i="47" s="1"/>
  <c r="H45" i="47" l="1"/>
  <c r="H32" i="47" s="1"/>
  <c r="H31" i="47" s="1"/>
  <c r="G32" i="47"/>
  <c r="G31" i="47" s="1"/>
  <c r="K31" i="47" s="1"/>
  <c r="K33" i="47" s="1"/>
  <c r="K34" i="47" s="1"/>
  <c r="E11" i="43"/>
  <c r="F11" i="43"/>
  <c r="G11" i="43"/>
  <c r="I11" i="43"/>
  <c r="E9" i="43"/>
  <c r="F9" i="43"/>
  <c r="F8" i="43" s="1"/>
  <c r="G9" i="43"/>
  <c r="G8" i="43" s="1"/>
  <c r="I9" i="43"/>
  <c r="I8" i="43" s="1"/>
  <c r="E18" i="44"/>
  <c r="P19" i="44"/>
  <c r="F19" i="44"/>
  <c r="G19" i="44"/>
  <c r="H19" i="44"/>
  <c r="I19" i="44"/>
  <c r="J19" i="44"/>
  <c r="M19" i="44"/>
  <c r="N19" i="44"/>
  <c r="E19" i="44"/>
  <c r="D14" i="44"/>
  <c r="C14" i="44"/>
  <c r="T30" i="39"/>
  <c r="S10" i="39"/>
  <c r="S9" i="39" s="1"/>
  <c r="S21" i="39"/>
  <c r="E8" i="43" l="1"/>
  <c r="O29" i="39"/>
  <c r="O25" i="39"/>
  <c r="O10" i="39"/>
  <c r="O9" i="39" l="1"/>
  <c r="O24" i="39"/>
  <c r="M17" i="44"/>
  <c r="M9" i="44"/>
  <c r="E9" i="44"/>
  <c r="F9" i="44"/>
  <c r="G9" i="44"/>
  <c r="H9" i="44"/>
  <c r="I9" i="44"/>
  <c r="J9" i="44"/>
  <c r="N9" i="44"/>
  <c r="P9" i="44"/>
  <c r="F11" i="44"/>
  <c r="G11" i="44"/>
  <c r="G18" i="44" s="1"/>
  <c r="H11" i="44"/>
  <c r="H18" i="44" s="1"/>
  <c r="I11" i="44"/>
  <c r="I18" i="44" s="1"/>
  <c r="P17" i="44"/>
  <c r="F17" i="44"/>
  <c r="G17" i="44"/>
  <c r="H17" i="44"/>
  <c r="J17" i="44"/>
  <c r="N17" i="44"/>
  <c r="E17" i="44"/>
  <c r="D10" i="44"/>
  <c r="C10" i="44" s="1"/>
  <c r="C9" i="44" s="1"/>
  <c r="C8" i="44" s="1"/>
  <c r="H16" i="43"/>
  <c r="H17" i="43"/>
  <c r="H13" i="43"/>
  <c r="H14" i="43"/>
  <c r="H10" i="43"/>
  <c r="H9" i="43" s="1"/>
  <c r="H12" i="43"/>
  <c r="D13" i="43"/>
  <c r="D14" i="43"/>
  <c r="C14" i="43" s="1"/>
  <c r="D10" i="43"/>
  <c r="D12" i="43"/>
  <c r="C10" i="43"/>
  <c r="C9" i="43" s="1"/>
  <c r="S29" i="39"/>
  <c r="S25" i="39"/>
  <c r="D9" i="43" l="1"/>
  <c r="D16" i="43"/>
  <c r="H15" i="43"/>
  <c r="C13" i="43"/>
  <c r="C11" i="43" s="1"/>
  <c r="C8" i="43" s="1"/>
  <c r="H11" i="43"/>
  <c r="H8" i="43" s="1"/>
  <c r="O8" i="39"/>
  <c r="C12" i="43"/>
  <c r="D11" i="43"/>
  <c r="D17" i="43"/>
  <c r="C17" i="43" s="1"/>
  <c r="N15" i="44"/>
  <c r="P15" i="44"/>
  <c r="D11" i="44"/>
  <c r="I15" i="44"/>
  <c r="G15" i="44"/>
  <c r="F15" i="44"/>
  <c r="D9" i="44"/>
  <c r="D17" i="44"/>
  <c r="D18" i="44"/>
  <c r="D19" i="44"/>
  <c r="S24" i="39"/>
  <c r="S8" i="39" s="1"/>
  <c r="D8" i="43" l="1"/>
  <c r="D15" i="43"/>
  <c r="C18" i="44"/>
  <c r="D16" i="44"/>
  <c r="D15" i="44" s="1"/>
  <c r="J15" i="44"/>
  <c r="M15" i="44"/>
  <c r="H15" i="44"/>
  <c r="C17" i="44"/>
  <c r="O15" i="44"/>
  <c r="C16" i="43"/>
  <c r="C15" i="43" s="1"/>
  <c r="C16" i="44" l="1"/>
  <c r="C15" i="44" s="1"/>
  <c r="C21" i="44" s="1"/>
  <c r="K16" i="39" l="1"/>
  <c r="I16" i="39"/>
  <c r="J16" i="39" s="1"/>
  <c r="N16" i="39" s="1"/>
  <c r="G16" i="39"/>
  <c r="F16" i="39"/>
  <c r="K15" i="39"/>
  <c r="T15" i="39" s="1"/>
  <c r="I15" i="39"/>
  <c r="J15" i="39" s="1"/>
  <c r="N15" i="39" s="1"/>
  <c r="G15" i="39"/>
  <c r="F15" i="39"/>
  <c r="K14" i="39"/>
  <c r="T14" i="39" s="1"/>
  <c r="I14" i="39"/>
  <c r="J14" i="39" s="1"/>
  <c r="N14" i="39" s="1"/>
  <c r="G14" i="39"/>
  <c r="F14" i="39"/>
  <c r="K13" i="39"/>
  <c r="P13" i="39" s="1"/>
  <c r="I13" i="39"/>
  <c r="J13" i="39" s="1"/>
  <c r="N13" i="39" s="1"/>
  <c r="G13" i="39"/>
  <c r="F13" i="39"/>
  <c r="I12" i="39"/>
  <c r="J12" i="39" s="1"/>
  <c r="N12" i="39" s="1"/>
  <c r="G12" i="39"/>
  <c r="F12" i="39"/>
  <c r="T29" i="39"/>
  <c r="K30" i="39"/>
  <c r="P30" i="39" s="1"/>
  <c r="I30" i="39"/>
  <c r="J30" i="39" s="1"/>
  <c r="G30" i="39"/>
  <c r="G29" i="39" s="1"/>
  <c r="F30" i="39"/>
  <c r="F29" i="39" s="1"/>
  <c r="M29" i="39"/>
  <c r="L29" i="39"/>
  <c r="H29" i="39"/>
  <c r="E29" i="39"/>
  <c r="K28" i="39"/>
  <c r="I28" i="39"/>
  <c r="J28" i="39" s="1"/>
  <c r="N28" i="39" s="1"/>
  <c r="G28" i="39"/>
  <c r="F28" i="39"/>
  <c r="K27" i="39"/>
  <c r="I27" i="39"/>
  <c r="J27" i="39" s="1"/>
  <c r="N27" i="39" s="1"/>
  <c r="G27" i="39"/>
  <c r="F27" i="39"/>
  <c r="K26" i="39"/>
  <c r="T26" i="39" s="1"/>
  <c r="J26" i="39"/>
  <c r="G26" i="39"/>
  <c r="F26" i="39"/>
  <c r="M25" i="39"/>
  <c r="L25" i="39"/>
  <c r="H25" i="39"/>
  <c r="E25" i="39"/>
  <c r="K22" i="39"/>
  <c r="K21" i="39" s="1"/>
  <c r="I22" i="39"/>
  <c r="G22" i="39"/>
  <c r="G21" i="39" s="1"/>
  <c r="F22" i="39"/>
  <c r="F21" i="39" s="1"/>
  <c r="K20" i="39"/>
  <c r="P20" i="39" s="1"/>
  <c r="I20" i="39"/>
  <c r="J20" i="39" s="1"/>
  <c r="N20" i="39" s="1"/>
  <c r="G20" i="39"/>
  <c r="F20" i="39"/>
  <c r="K18" i="39"/>
  <c r="T18" i="39" s="1"/>
  <c r="I18" i="39"/>
  <c r="J18" i="39" s="1"/>
  <c r="N18" i="39" s="1"/>
  <c r="G18" i="39"/>
  <c r="F18" i="39"/>
  <c r="K17" i="39"/>
  <c r="T17" i="39" s="1"/>
  <c r="I17" i="39"/>
  <c r="J17" i="39" s="1"/>
  <c r="G17" i="39"/>
  <c r="F17" i="39"/>
  <c r="K11" i="39"/>
  <c r="T11" i="39" s="1"/>
  <c r="I11" i="39"/>
  <c r="J11" i="39" s="1"/>
  <c r="N11" i="39" s="1"/>
  <c r="G11" i="39"/>
  <c r="F11" i="39"/>
  <c r="M10" i="39"/>
  <c r="L10" i="39"/>
  <c r="H10" i="39"/>
  <c r="E10" i="39"/>
  <c r="T16" i="39" l="1"/>
  <c r="P16" i="39"/>
  <c r="T13" i="39"/>
  <c r="J22" i="39"/>
  <c r="J21" i="39" s="1"/>
  <c r="I21" i="39"/>
  <c r="K29" i="39"/>
  <c r="P29" i="39"/>
  <c r="T27" i="39"/>
  <c r="P27" i="39"/>
  <c r="P22" i="39"/>
  <c r="P21" i="39" s="1"/>
  <c r="T22" i="39"/>
  <c r="T21" i="39" s="1"/>
  <c r="P18" i="39"/>
  <c r="P11" i="39"/>
  <c r="P17" i="39"/>
  <c r="P12" i="39"/>
  <c r="P14" i="39"/>
  <c r="P15" i="39"/>
  <c r="T28" i="39"/>
  <c r="P28" i="39"/>
  <c r="P26" i="39"/>
  <c r="M24" i="39"/>
  <c r="G10" i="39"/>
  <c r="G9" i="39" s="1"/>
  <c r="E9" i="39"/>
  <c r="E24" i="39"/>
  <c r="F25" i="39"/>
  <c r="F24" i="39" s="1"/>
  <c r="H24" i="39"/>
  <c r="M9" i="39"/>
  <c r="K10" i="39"/>
  <c r="K9" i="39" s="1"/>
  <c r="N22" i="39"/>
  <c r="N21" i="39" s="1"/>
  <c r="H9" i="39"/>
  <c r="F10" i="39"/>
  <c r="F9" i="39" s="1"/>
  <c r="T20" i="39"/>
  <c r="I25" i="39"/>
  <c r="G25" i="39"/>
  <c r="G24" i="39" s="1"/>
  <c r="L24" i="39"/>
  <c r="I29" i="39"/>
  <c r="L9" i="39"/>
  <c r="N30" i="39"/>
  <c r="N29" i="39" s="1"/>
  <c r="J29" i="39"/>
  <c r="N17" i="39"/>
  <c r="N10" i="39" s="1"/>
  <c r="J10" i="39"/>
  <c r="N26" i="39"/>
  <c r="N25" i="39" s="1"/>
  <c r="J25" i="39"/>
  <c r="I10" i="39"/>
  <c r="K25" i="39"/>
  <c r="T10" i="39" l="1"/>
  <c r="T9" i="39" s="1"/>
  <c r="K24" i="39"/>
  <c r="K8" i="39" s="1"/>
  <c r="T25" i="39"/>
  <c r="T24" i="39" s="1"/>
  <c r="P25" i="39"/>
  <c r="P24" i="39" s="1"/>
  <c r="P10" i="39"/>
  <c r="P9" i="39" s="1"/>
  <c r="G8" i="39"/>
  <c r="L8" i="39"/>
  <c r="N9" i="39"/>
  <c r="F8" i="39"/>
  <c r="M8" i="39"/>
  <c r="H8" i="39"/>
  <c r="E8" i="39"/>
  <c r="J24" i="39"/>
  <c r="N24" i="39"/>
  <c r="I9" i="39"/>
  <c r="J9" i="39"/>
  <c r="I24" i="39"/>
  <c r="T8" i="39" l="1"/>
  <c r="P8" i="39"/>
  <c r="N8" i="39"/>
  <c r="J8" i="39"/>
  <c r="I8" i="39"/>
</calcChain>
</file>

<file path=xl/comments1.xml><?xml version="1.0" encoding="utf-8"?>
<comments xmlns="http://schemas.openxmlformats.org/spreadsheetml/2006/main">
  <authors>
    <author>Administrator</author>
    <author>Huỳnh Thị Thanh Nam</author>
  </authors>
  <commentList>
    <comment ref="H26" authorId="0" shapeId="0">
      <text>
        <r>
          <rPr>
            <b/>
            <sz val="9"/>
            <color indexed="81"/>
            <rFont val="Tahoma"/>
            <family val="2"/>
          </rPr>
          <t>Administrator:</t>
        </r>
        <r>
          <rPr>
            <sz val="9"/>
            <color indexed="81"/>
            <rFont val="Tahoma"/>
            <family val="2"/>
          </rPr>
          <t xml:space="preserve">
T1: 3.843.765.000 + T2: 2.350.200.000</t>
        </r>
      </text>
    </comment>
    <comment ref="H27" authorId="0" shapeId="0">
      <text>
        <r>
          <rPr>
            <b/>
            <sz val="9"/>
            <color indexed="81"/>
            <rFont val="Tahoma"/>
            <family val="2"/>
          </rPr>
          <t>Administrator:</t>
        </r>
        <r>
          <rPr>
            <sz val="9"/>
            <color indexed="81"/>
            <rFont val="Tahoma"/>
            <family val="2"/>
          </rPr>
          <t xml:space="preserve">
T1: 68.140.000 + T2: 36.088.000</t>
        </r>
      </text>
    </comment>
    <comment ref="H28" authorId="0" shapeId="0">
      <text>
        <r>
          <rPr>
            <b/>
            <sz val="9"/>
            <color indexed="81"/>
            <rFont val="Tahoma"/>
            <family val="2"/>
          </rPr>
          <t>Administrator:</t>
        </r>
        <r>
          <rPr>
            <sz val="9"/>
            <color indexed="81"/>
            <rFont val="Tahoma"/>
            <family val="2"/>
          </rPr>
          <t xml:space="preserve">
T1: 284.020.000 + T2: 120.870.000</t>
        </r>
      </text>
    </comment>
    <comment ref="H30" authorId="1" shapeId="0">
      <text>
        <r>
          <rPr>
            <b/>
            <sz val="9"/>
            <color indexed="81"/>
            <rFont val="Tahoma"/>
            <family val="2"/>
          </rPr>
          <t>Huỳnh Thị Thanh Nam:</t>
        </r>
        <r>
          <rPr>
            <sz val="9"/>
            <color indexed="81"/>
            <rFont val="Tahoma"/>
            <family val="2"/>
          </rPr>
          <t xml:space="preserve">
Theo Tờ khai của VPĐK</t>
        </r>
      </text>
    </comment>
  </commentList>
</comments>
</file>

<file path=xl/sharedStrings.xml><?xml version="1.0" encoding="utf-8"?>
<sst xmlns="http://schemas.openxmlformats.org/spreadsheetml/2006/main" count="288" uniqueCount="228">
  <si>
    <t>STT</t>
  </si>
  <si>
    <t>A</t>
  </si>
  <si>
    <t>B</t>
  </si>
  <si>
    <t>I</t>
  </si>
  <si>
    <t>II</t>
  </si>
  <si>
    <t>Đơn vị: đồng.</t>
  </si>
  <si>
    <t>TỔNG CỘNG</t>
  </si>
  <si>
    <t>a</t>
  </si>
  <si>
    <t>b</t>
  </si>
  <si>
    <t>2a</t>
  </si>
  <si>
    <t>Ghi chú</t>
  </si>
  <si>
    <t>2b</t>
  </si>
  <si>
    <t>3a</t>
  </si>
  <si>
    <t>3b</t>
  </si>
  <si>
    <t>Phí thẩm định hoạt động đo đạc bản đồ.</t>
  </si>
  <si>
    <t>Phí thẩm định hồ sơ, điều kiện hành nghề khoan nước dưới đất</t>
  </si>
  <si>
    <t>Văn phòng Sở</t>
  </si>
  <si>
    <t>II.2</t>
  </si>
  <si>
    <t>Văn phòng Đăng ký đất đai tỉnh Tây Ninh</t>
  </si>
  <si>
    <t>Tổng cộng</t>
  </si>
  <si>
    <t>11=12+13</t>
  </si>
  <si>
    <t>3</t>
  </si>
  <si>
    <t>4</t>
  </si>
  <si>
    <t>Phí cấp giấy xác nhận về đủ ĐK về BVMT trong nhập khẩu phế liệu.</t>
  </si>
  <si>
    <t>Phí</t>
  </si>
  <si>
    <t>Đơn vị tính: đồng</t>
  </si>
  <si>
    <t>TÊN LOẠI PHÍ, LỆ PHÍ</t>
  </si>
  <si>
    <t>Tỷ lệ được để lại theo quy định</t>
  </si>
  <si>
    <t>Tỷ lệ nộp NSNN</t>
  </si>
  <si>
    <t>Tổng số phát sinh</t>
  </si>
  <si>
    <t>Số được để lại theo chế độ</t>
  </si>
  <si>
    <t>Số nộp
ngân sách</t>
  </si>
  <si>
    <t>Số phải nộp
ngân sách</t>
  </si>
  <si>
    <t>6=3*5</t>
  </si>
  <si>
    <t>7=4*5</t>
  </si>
  <si>
    <t>9=8*3</t>
  </si>
  <si>
    <t>10=8*4 or 10=8-9</t>
  </si>
  <si>
    <t>14=10-13</t>
  </si>
  <si>
    <t>Lệ phí</t>
  </si>
  <si>
    <t>Phí thẩm định đánh giá trữ lượng khoáng sản (TM 2628)</t>
  </si>
  <si>
    <t>TM 2628</t>
  </si>
  <si>
    <t>Phí bảo vệ môi trường đối với nước thải công nghiệp (TM 2618)</t>
  </si>
  <si>
    <t>TM 2618</t>
  </si>
  <si>
    <t>Phí thẩm định đề án báo cáo thăm dò, khai thác, sử dụng nước dưới đất; khai thác sử dụng nước mặt. (TM 2631)</t>
  </si>
  <si>
    <t>TM 2631</t>
  </si>
  <si>
    <t>Phí thẩm định phương án cải tạo, phục hồi môi trường (TM 2634)</t>
  </si>
  <si>
    <t>TM 2634</t>
  </si>
  <si>
    <t>Phí Thẩm định cấp, cấp lại, điều chỉnh giấy phép môi trường. (TM 2632)</t>
  </si>
  <si>
    <t>TM 2632</t>
  </si>
  <si>
    <t>Lệ phí cấp giấy phép hoạt động khoáng sản (TM 2853)</t>
  </si>
  <si>
    <t>TM 2853</t>
  </si>
  <si>
    <t>Phí thẩm định hồ sơ cấp GCNQSDĐ (TM 2627)</t>
  </si>
  <si>
    <t>TM 2627</t>
  </si>
  <si>
    <t>Phí Khai thác tài liệu (TM 2633)</t>
  </si>
  <si>
    <t>TM 2633</t>
  </si>
  <si>
    <t>Phí  giao dịch bảo đảm (TM 2718)</t>
  </si>
  <si>
    <t>TM 2718</t>
  </si>
  <si>
    <t>Lệ phí cấp giấy CNQSDĐ, QSHD nhà, TS gắn liền với đất (TM 2805)</t>
  </si>
  <si>
    <t>TM 2805</t>
  </si>
  <si>
    <t>Phí thẩm định báo cáo ĐTM (TM 2634)</t>
  </si>
  <si>
    <t>Số liệu Tabmis</t>
  </si>
  <si>
    <t>Trong đó</t>
  </si>
  <si>
    <t>Tháng</t>
  </si>
  <si>
    <t>Tháng 01</t>
  </si>
  <si>
    <t>Tháng 02</t>
  </si>
  <si>
    <t>Tháng 03</t>
  </si>
  <si>
    <t>Tháng 12</t>
  </si>
  <si>
    <t>Số chứng từ</t>
  </si>
  <si>
    <t>1=2+3</t>
  </si>
  <si>
    <t>2=2a+2b+2c</t>
  </si>
  <si>
    <t>2c</t>
  </si>
  <si>
    <t>3=3a</t>
  </si>
  <si>
    <t>Cụ thể</t>
  </si>
  <si>
    <t>CHI TIẾT</t>
  </si>
  <si>
    <t>UNC số: CTG01/01.VP.NSNN/250103_1029424_1911001</t>
  </si>
  <si>
    <t>Nguồn năm 2024</t>
  </si>
  <si>
    <t>Phí thẩm định ĐA, BC thăm dò, khai thác, sử dụng nước dưới đất; KT sử dụng nước mặt (TM 2631)</t>
  </si>
  <si>
    <t>Phí bảo vệ môi trường đối với nước thải công nghiệp 
(TM 2618)</t>
  </si>
  <si>
    <t>Phí thẩm định cấp, cấp lại, điều chỉnh giấy phép môi trường phí thẩm định điều kiện hành nghề thuộc TNMT (TM 2632)</t>
  </si>
  <si>
    <t>Phí thẩm định báo cáo đánh giá tác động môi trường (TM 2634)</t>
  </si>
  <si>
    <t>Phí thẩm định Phương án phục hồi cải tạo môi trường
(TM 2634)</t>
  </si>
  <si>
    <t>Lệ phí cấp giấy phép hoạt động khoáng sản
(TM 2853)</t>
  </si>
  <si>
    <t>Phí thẩm định hoạt động đo đạc bản đồ (TM 2632)</t>
  </si>
  <si>
    <t>Phí thẩm định hồ sơ, điều kiện hành nghề khoan nước dưới đất (TM 2632)</t>
  </si>
  <si>
    <t>2d</t>
  </si>
  <si>
    <t>2e</t>
  </si>
  <si>
    <t>2f</t>
  </si>
  <si>
    <t>2g</t>
  </si>
  <si>
    <t>2h</t>
  </si>
  <si>
    <t>2=2a+2b+2c+…+2h</t>
  </si>
  <si>
    <t>UNC số 038/KB-UNC/250117_1031424_1911014</t>
  </si>
  <si>
    <t>16=15-11</t>
  </si>
  <si>
    <t>Chênh lệch giữa số liệu theo chứng từ nộp NSNN của đơn vị so với số liệu đã hạch toán trên hệ thống Tabmis</t>
  </si>
  <si>
    <t>Phụ biểu số 02</t>
  </si>
  <si>
    <t>Phụ biểu số 01</t>
  </si>
  <si>
    <t>Biểu số 01</t>
  </si>
  <si>
    <t>DỰ TOÁN 2025
(Bao gồm dự toán điều chỉnh, nếu có)</t>
  </si>
  <si>
    <t>THỰC HIỆN 02 tháng năm 2025
(Theo Tờ khai quyết toán Phí, lệ phí của Văn phòng Sở và Văn phòng Đăng ký đất đai tỉnh)</t>
  </si>
  <si>
    <t>Số phí, lệ phí năm 2024 chưa nộp chuyển sang nộp trong năm 2025</t>
  </si>
  <si>
    <t>Số phí, lệ phí năm 2025</t>
  </si>
  <si>
    <t>Số liệu thu hạch toán trên hệ thống Tabmis Kỳ 02-25 đến hết ngày 12/3/2025</t>
  </si>
  <si>
    <t>Số phí, lệ phí năm 2025 còn phải nộp</t>
  </si>
  <si>
    <t>TỔNG HỢP TÌNH HÌNH NỘP NGÂN SÁCH 02 THÁNG ĐẦU NĂM 2025 CỦA VĂN PHÒNG SỞ</t>
  </si>
  <si>
    <t>NĂM 2024 CHUYỂN SANG</t>
  </si>
  <si>
    <t>Tháng 12/2024</t>
  </si>
  <si>
    <t>NĂM 2025</t>
  </si>
  <si>
    <t>Nộp trong 02 tháng đầu năm 2025</t>
  </si>
  <si>
    <t>Nguồn năm 2025</t>
  </si>
  <si>
    <t>Nộp sau ngày 28/02/2025</t>
  </si>
  <si>
    <t>Tháng 3</t>
  </si>
  <si>
    <t>TỔNG HỢP TÌNH HÌNH NỘP NGÂN SÁCH NĂM 2025 CỦA VĂN PHÒNG ĐĂNG KÝ ĐẤT ĐAI</t>
  </si>
  <si>
    <t>DỰ TOÁN THU, CHI NGÂN SÁCH NĂM 2025</t>
  </si>
  <si>
    <t>ok</t>
  </si>
  <si>
    <r>
      <t xml:space="preserve">Của đơn vị: </t>
    </r>
    <r>
      <rPr>
        <b/>
        <sz val="13"/>
        <rFont val="Times New Roman"/>
        <family val="1"/>
      </rPr>
      <t>SỞ TÀI NGUYÊN VÀ MÔI TRƯỜNG</t>
    </r>
  </si>
  <si>
    <t>(Ban hành kèm theo Quyết định số: 2389/QĐ-UBND ngày 12 tháng 12 năm 2024 của Ủy ban nhân dân tỉnh Tây Ninh)</t>
  </si>
  <si>
    <t>Đơn vị tính: triệu đồng</t>
  </si>
  <si>
    <t>NỘI DUNG</t>
  </si>
  <si>
    <t>Dự toán năm 2025</t>
  </si>
  <si>
    <t>Nhu cầu tăng MLCS từ 1,49 trđ đến 2,34 trđ và chính sách ASXH</t>
  </si>
  <si>
    <t>Nguồn tiết kiệm 10% chi TX</t>
  </si>
  <si>
    <t>Nguồn CCTL từ nguồn thu HP, VP, SN</t>
  </si>
  <si>
    <t>Kinh phí sử dụng từ nguồn CCTL của đơn vị năm trước để đảm bảo mức lương 2,34 trđ</t>
  </si>
  <si>
    <t>Dự toán NSNN giao năm 2025</t>
  </si>
  <si>
    <t>Gồm</t>
  </si>
  <si>
    <t>Dự toán NSNN giao năm 2025 (chưa bao gồm nhu cầu tăng MLCS từ 1,49 trđ đến 2,34 trđ và chính sách ASXH</t>
  </si>
  <si>
    <t>Nguồn CCTL thực hiện nhu cầu tăng MLCS từ 1,49 trđ đến 2,34 trđ và chính sách ASXH</t>
  </si>
  <si>
    <t>7=2-4-5-6</t>
  </si>
  <si>
    <t>8=7-9</t>
  </si>
  <si>
    <t>9=3-5-6</t>
  </si>
  <si>
    <t>A. THU, CHI NGÂN SÁCH VỀ PHÍ, LỆ PHÍ</t>
  </si>
  <si>
    <t xml:space="preserve"> I. Tổng số thu phí, lệ phí phát sinh</t>
  </si>
  <si>
    <t>I.1. Tổng số thu phí phát sinh</t>
  </si>
  <si>
    <t>1. Phí thẩm định đánh giá trữ lượng khoáng sản (TM 2628)</t>
  </si>
  <si>
    <t>2. Phí thẩm định hoạt động đo đạc bản đồ.</t>
  </si>
  <si>
    <t>3. Phí cấp giấy xác nhận về đủ ĐK về BVMT trong nhập khẩu phế liệu.</t>
  </si>
  <si>
    <t>4. Phí bảo vệ môi trường đối với nước thải công nghiệp (TM 2618)</t>
  </si>
  <si>
    <t>5. Phí thẩm định đề án báo cáo thăm dò, khai thác, sử dụng nước dưới đất; khai thác sử dụng nước mặt (TM 2631)</t>
  </si>
  <si>
    <t>6. Phí thẩm định báo cáo ĐTM (TM 2634)</t>
  </si>
  <si>
    <t>7. Phí thẩm định hồ sơ, điều kiện hành nghề khoan nước dưới đất</t>
  </si>
  <si>
    <t>8. Phí thẩm định phương án cải tạo, phục hồi môi trường (TM 2634)</t>
  </si>
  <si>
    <t>9. Phí Thẩm định cấp, cấp lại, điều chỉnh giấy phép môi trường (TM 2632)</t>
  </si>
  <si>
    <t>10. Phí thẩm định hồ sơ cấp GCNQSDĐ (TM 2627)</t>
  </si>
  <si>
    <t>11. Phí Khai thác tài liệu (TM 2633)</t>
  </si>
  <si>
    <t>12. Phí giao dịch bảo đảm (TM 2718)</t>
  </si>
  <si>
    <t>I.2. Tổng số thu lệ phí phát sinh</t>
  </si>
  <si>
    <t>1. Lệ phí cấp giấy phép hoạt động khoáng sản</t>
  </si>
  <si>
    <t>2. Lệ phí cấp giấy CNQSDĐ, QSHD nhà, TS gắn liền với đất</t>
  </si>
  <si>
    <t xml:space="preserve"> II. Chi từ nguồn phí, lệ phí được để lại</t>
  </si>
  <si>
    <t>1. Phí thẩm định hồ sơ cấp GCNQSDĐ</t>
  </si>
  <si>
    <t>2. Phí Khai thác tài liệu</t>
  </si>
  <si>
    <t>3. Phí  giao dịch bảo đảm</t>
  </si>
  <si>
    <t xml:space="preserve"> III. Số phí, lệ phí nộp ngân sách nhà nước</t>
  </si>
  <si>
    <t>B. TỔNG CHI NGÂN SÁCH (*)</t>
  </si>
  <si>
    <t>B.1. CHI CÂN ĐỐI NGÂN SÁCH ĐỊA PHƯƠNG</t>
  </si>
  <si>
    <t>I. Chi quản lý hành chính (Văn phòng Sở)</t>
  </si>
  <si>
    <t xml:space="preserve"> * Số biên chế được giao</t>
  </si>
  <si>
    <t xml:space="preserve"> ** Tổng số chi</t>
  </si>
  <si>
    <t xml:space="preserve"> 1. Kinh phí tự chủ</t>
  </si>
  <si>
    <t xml:space="preserve"> + Tổng quỹ lương 55 biên chế</t>
  </si>
  <si>
    <t xml:space="preserve"> + Chi HĐTX</t>
  </si>
  <si>
    <t xml:space="preserve"> + KP đặc thù cố định</t>
  </si>
  <si>
    <t xml:space="preserve"> + KP hỗ trợ HĐLĐ theo NĐ số 111/2022/NĐ-CP (hỗ trợ 03 HĐLĐ thực có mặt tại thời điểm giao dự toán)</t>
  </si>
  <si>
    <t xml:space="preserve"> 2. Kinh phí không tự chủ</t>
  </si>
  <si>
    <t xml:space="preserve"> + Kinh phí khen thưởng theo Nghị định số 73/2024/NĐ-CP</t>
  </si>
  <si>
    <t xml:space="preserve"> + Kinh phí mua sắm, sữa chữa</t>
  </si>
  <si>
    <t xml:space="preserve"> + Kinh phí thực hiện nhiệm vụ được giao</t>
  </si>
  <si>
    <t>Chi tiết tại Phụ lục IV.1</t>
  </si>
  <si>
    <t>II. Chi các sự nghiệp</t>
  </si>
  <si>
    <t>II.1. Sự nghiệp Kinh tế (Sự nghiệp kinh tế khác)</t>
  </si>
  <si>
    <t xml:space="preserve"> * Số người làm việc trong đơn vị SN công lập</t>
  </si>
  <si>
    <t xml:space="preserve"> 1. Chi bộ máy sự nghiệp
(Trung tâm Phát triển quỹ đất)</t>
  </si>
  <si>
    <t xml:space="preserve">  1.1. Kinh phí giao quyền tự chủ</t>
  </si>
  <si>
    <t xml:space="preserve">  - Quỹ lương 15 biên chế</t>
  </si>
  <si>
    <t xml:space="preserve">  - Chi hoạt động thường xuyên</t>
  </si>
  <si>
    <t xml:space="preserve">  - Kinh phí hỗ trợ HĐLĐ theo Nghị định số 111/2022/NĐ-CP (hỗ trợ 01 HĐLĐ)</t>
  </si>
  <si>
    <t xml:space="preserve">  1.2. Kinh phí không giao quyền tự chủ</t>
  </si>
  <si>
    <t xml:space="preserve">  - Kinh phí khen thưởng theo Nghị định số 73/2024/NĐ-CP </t>
  </si>
  <si>
    <t xml:space="preserve">  - Kinh phí thực hiện nhiệm vụ được giao</t>
  </si>
  <si>
    <t>Chi tiết tại Phụ lục IV.2</t>
  </si>
  <si>
    <t xml:space="preserve"> 2. Chi hoạt động sự nghiệp
(Kinh phí không giao quyền tự chủ)</t>
  </si>
  <si>
    <t xml:space="preserve">  +  Văn phòng Sở: Kinh phí thực hiện nhiệm vụ được giao</t>
  </si>
  <si>
    <t xml:space="preserve">  +  Trung tâm phát triển quỹ đất</t>
  </si>
  <si>
    <t xml:space="preserve"> II.2. Chi Sự nghiệp Môi trường</t>
  </si>
  <si>
    <t xml:space="preserve"> * Chi hoạt động sự nghiệp:</t>
  </si>
  <si>
    <t>1. Kinh phí thực hiện nhiệm vụ bảo vệ môi trường</t>
  </si>
  <si>
    <t xml:space="preserve"> + Kinh phí không giao quyền tự chủ</t>
  </si>
  <si>
    <t>2. Kinh phí thực hiện nhiệm vụ Quan trắc môi trường</t>
  </si>
  <si>
    <t xml:space="preserve">  + Kinh phí đặt hàng</t>
  </si>
  <si>
    <t xml:space="preserve">  + Kinh phí giao nhiệm vụ</t>
  </si>
  <si>
    <t>B. CHI CÁC CTMTQG, CTMT, NHIỆM VỤ (Nguồn NSTW - Vốn trong nước)</t>
  </si>
  <si>
    <t>B.1. Chi các CTMTQG - CTMTQG Xây dựng nông thôn mới</t>
  </si>
  <si>
    <t>1. Quản lý hành chính</t>
  </si>
  <si>
    <t>Nội dung thành phần số 11: Tăng cường công tác giám sát, đánh giá thực hiện Chương trình; nâng cao năng lực xây dựng NTM; truyền thông về xây dựng NTM; thực hiện Phong trào thi đua cả nước chung sức xây dựng NTM.</t>
  </si>
  <si>
    <t>Chi tiết tại Phụ lục IV.3</t>
  </si>
  <si>
    <t>Nâng cao chất lượng và hiệu quả công tác kiểm tra, giám sát, đánh giá kết quả thực hiện Chương trình.</t>
  </si>
  <si>
    <r>
      <t xml:space="preserve">* </t>
    </r>
    <r>
      <rPr>
        <b/>
        <u/>
        <sz val="12"/>
        <rFont val="Times New Roman"/>
        <family val="1"/>
      </rPr>
      <t>Ghi chú</t>
    </r>
    <r>
      <rPr>
        <b/>
        <sz val="12"/>
        <rFont val="Times New Roman"/>
        <family val="1"/>
      </rPr>
      <t>:</t>
    </r>
  </si>
  <si>
    <t xml:space="preserve">  (1) Trong tổng chi ngân sách trên bao gồm mức trích lập Quỹ thi đua khen thưởng của đơn vị theo quy định tại Nghị định số 98/2023/NĐ-CP ngày 31/12/2023 của Chính phủ (Quỹ thi đua khen thưởng được trích lập từ nguồn kinh phí hoạt động thường xuyên của cơ quan quản lý hành chính và bộ máy đơn vị sự nghiệp).</t>
  </si>
  <si>
    <t>UNC số 003/KB-UNC./250219_1031424_1911001</t>
  </si>
  <si>
    <t>+ UNC số 006/KB-UNC/250226_1031424_1911005 
+  UNC số 008/KB-UNC/250227_1031424_1911009</t>
  </si>
  <si>
    <t>Phí thẩm định hồ sơ cấp giấy chứng nhận QSDĐ
(TM 2627)</t>
  </si>
  <si>
    <t>Lệ phí cấp giấy chứng nhận QSDĐ
(TM 2805)</t>
  </si>
  <si>
    <t>UNC 038 ngày 20/1/2025</t>
  </si>
  <si>
    <t>UNC 006 ngày 20/02/2025</t>
  </si>
  <si>
    <t>UNC 003 ngày 20/02/2025</t>
  </si>
  <si>
    <t>UNC 008 ngày 28/02/2025</t>
  </si>
  <si>
    <t>CL UNC-cột 13</t>
  </si>
  <si>
    <t>CL UNC-cột 15</t>
  </si>
  <si>
    <t>mã NDKT</t>
  </si>
  <si>
    <t>.2631</t>
  </si>
  <si>
    <t>.2634</t>
  </si>
  <si>
    <t>.2632</t>
  </si>
  <si>
    <t>.2627</t>
  </si>
  <si>
    <t>.2853</t>
  </si>
  <si>
    <t>.2805</t>
  </si>
  <si>
    <t>.2633</t>
  </si>
  <si>
    <t>.2718</t>
  </si>
  <si>
    <t>Tổng nộp NSNN 2025</t>
  </si>
  <si>
    <t>TÌNH HÌNH THỰC HIỆN THU THU PHÍ, LỆ PHÍ VÀ NỘP NGÂN SÁCH TỈNH 02 THÁNG ĐẦU NĂM 2025</t>
  </si>
  <si>
    <t>CHI TIẾT SỐ LIỆU NỘP NSNN NĂM 2025
(từ ngày 01/01/2025 đến hết ngày 28/02/2025)
(Tổng hợp theo chứng từ nộp NSNN của đơn vị)</t>
  </si>
  <si>
    <r>
      <t xml:space="preserve">GHI CHÚ </t>
    </r>
    <r>
      <rPr>
        <sz val="12"/>
        <rFont val="Times New Roman"/>
        <family val="1"/>
      </rPr>
      <t>(Ghi rõ QĐ điều chỉnh nếu có điều chỉnh dự toán thu, chi Phí lệ phí)</t>
    </r>
  </si>
  <si>
    <t>UNC số: CTG02/01.VP.NSNN/250218_1029424_1911003</t>
  </si>
  <si>
    <t>UNC số: /250313_1029424_1911001</t>
  </si>
  <si>
    <t>1. Lệ phí (TM 2805): nộp thừa 160.000 đồng, cụ thể:
Phải nộp: 289.862.000 đồng;
Đã nộp: 290.022.000 đồng.
--&gt; Thừa 160.000 đồng.
2. Phí (TM 2633): nộp thiếu: 80.000 đồng, cụ thể:
 - Phải nộp: 39.624.000 đồng;
 - Đã nộp: 39.544.000 đồng;
 --&gt; Còn phải nộp: 80.000 đồng.</t>
  </si>
  <si>
    <t>1. Lệ phí (TM 2805): Cấn trừ phần nộp thừa lệ phí 2805, cụ thể:
' - Phải nộp 268.635.500 đồng;
 - Đã nộp 160.000 đồng tại UNC số: CTG01/01.VP.NSNN/250103_1029424_1911001.
 - Còn phải nộp 268.475.500 đồng.
2. Phí (TM 2633):
' - Còn phải nộp kỳ trước: 80.000 đồng.
 - Phải nộp kỳ tháng 1/2025: 34.070.000 đồng.
 --&gt; Tổng nộp kỳ này: 34.150.000 đồng (=80.000 đồng + 34.070.000 đồng).</t>
  </si>
  <si>
    <t>2i</t>
  </si>
  <si>
    <t>3=3a+3b</t>
  </si>
  <si>
    <t>(Kèm Thông báo số:         /TB-STC ngày …...…tháng 6 năm 2025 của Sở Tài chính)</t>
  </si>
  <si>
    <t>(Kèm theo Thông báo số:         /TB-STC ngày ….…tháng 6 năm 2025 của Sở Tài chính)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</si>
</sst>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0\ _₫_-;\-* #,##0.00\ _₫_-;_-* &quot;-&quot;??\ _₫_-;_-@_-"/>
    <numFmt numFmtId="165" formatCode="_(* #,##0_);_(* \(#,##0\);_(* &quot;-&quot;??_);_(@_)"/>
    <numFmt numFmtId="166" formatCode="_ * #,##0.00_)\ _₫_ ;_ * \(#,##0.00\)\ _₫_ ;_ * &quot;-&quot;??_)\ _₫_ ;_ @_ "/>
    <numFmt numFmtId="167" formatCode="_-* #,##0.00_-;\-* #,##0.00_-;_-* &quot;-&quot;??_-;_-@_-"/>
  </numFmts>
  <fonts count="52" x14ac:knownFonts="1">
    <font>
      <sz val="8"/>
      <color indexed="8"/>
      <name val="Arial"/>
      <charset val="204"/>
    </font>
    <font>
      <sz val="11"/>
      <color theme="1"/>
      <name val="Calibri"/>
      <family val="2"/>
      <scheme val="minor"/>
    </font>
    <font>
      <sz val="10"/>
      <color indexed="8"/>
      <name val="Arial"/>
      <family val="2"/>
    </font>
    <font>
      <sz val="10"/>
      <name val="Arial"/>
      <family val="2"/>
    </font>
    <font>
      <sz val="12"/>
      <name val="Times New Roman"/>
      <family val="1"/>
    </font>
    <font>
      <b/>
      <sz val="12"/>
      <name val="Times New Roman"/>
      <family val="1"/>
    </font>
    <font>
      <b/>
      <sz val="14"/>
      <name val="Times New Roman"/>
      <family val="1"/>
    </font>
    <font>
      <b/>
      <sz val="12"/>
      <name val="VNI-Times"/>
    </font>
    <font>
      <b/>
      <u/>
      <sz val="12"/>
      <name val="Times New Roman"/>
      <family val="1"/>
    </font>
    <font>
      <b/>
      <sz val="9"/>
      <color indexed="81"/>
      <name val="Tahoma"/>
      <family val="2"/>
    </font>
    <font>
      <sz val="9"/>
      <color indexed="81"/>
      <name val="Tahoma"/>
      <family val="2"/>
    </font>
    <font>
      <b/>
      <sz val="8"/>
      <name val="Times New Roman"/>
      <family val="1"/>
    </font>
    <font>
      <sz val="10"/>
      <name val="Times New Roman"/>
      <family val="1"/>
    </font>
    <font>
      <sz val="13"/>
      <name val="Times New Roman"/>
      <family val="1"/>
    </font>
    <font>
      <b/>
      <i/>
      <sz val="12"/>
      <name val="Times New Roman"/>
      <family val="1"/>
    </font>
    <font>
      <sz val="11"/>
      <color theme="1"/>
      <name val="Calibri"/>
      <family val="2"/>
      <charset val="163"/>
      <scheme val="minor"/>
    </font>
    <font>
      <sz val="12"/>
      <name val="VNI-Times"/>
    </font>
    <font>
      <sz val="14"/>
      <name val="Times New Roman"/>
      <family val="1"/>
    </font>
    <font>
      <sz val="13"/>
      <color theme="1"/>
      <name val="Times New Roman"/>
      <family val="2"/>
    </font>
    <font>
      <sz val="8"/>
      <color indexed="8"/>
      <name val="Arial"/>
      <family val="2"/>
    </font>
    <font>
      <sz val="13"/>
      <color theme="1"/>
      <name val="Times New Roman"/>
      <family val="2"/>
      <charset val="163"/>
    </font>
    <font>
      <b/>
      <sz val="13"/>
      <name val="Times New Roman"/>
      <family val="1"/>
    </font>
    <font>
      <i/>
      <sz val="13"/>
      <name val="Times New Roman"/>
      <family val="1"/>
    </font>
    <font>
      <b/>
      <sz val="10"/>
      <name val="Times New Roman"/>
      <family val="1"/>
    </font>
    <font>
      <b/>
      <i/>
      <sz val="12"/>
      <color rgb="FF7030A0"/>
      <name val="Times New Roman"/>
      <family val="1"/>
    </font>
    <font>
      <sz val="10"/>
      <color rgb="FF0000FF"/>
      <name val="Times New Roman"/>
      <family val="1"/>
    </font>
    <font>
      <b/>
      <sz val="12"/>
      <color rgb="FFC00000"/>
      <name val="Times New Roman"/>
      <family val="1"/>
    </font>
    <font>
      <sz val="12"/>
      <color rgb="FF0000FF"/>
      <name val="Times New Roman"/>
      <family val="1"/>
    </font>
    <font>
      <b/>
      <sz val="12"/>
      <color rgb="FF7030A0"/>
      <name val="Times New Roman"/>
      <family val="1"/>
    </font>
    <font>
      <b/>
      <i/>
      <sz val="12"/>
      <color rgb="FF0000FF"/>
      <name val="Times New Roman"/>
      <family val="1"/>
    </font>
    <font>
      <b/>
      <i/>
      <sz val="12"/>
      <color rgb="FF006600"/>
      <name val="Times New Roman"/>
      <family val="1"/>
    </font>
    <font>
      <i/>
      <sz val="12"/>
      <name val="Times New Roman"/>
      <family val="1"/>
    </font>
    <font>
      <sz val="8"/>
      <color indexed="8"/>
      <name val="Arial"/>
      <family val="2"/>
    </font>
    <font>
      <sz val="9"/>
      <name val="Times New Roman"/>
      <family val="1"/>
    </font>
    <font>
      <b/>
      <sz val="12"/>
      <color rgb="FFFF0000"/>
      <name val="Times New Roman"/>
      <family val="1"/>
    </font>
    <font>
      <sz val="12"/>
      <color rgb="FFFF0000"/>
      <name val="Times New Roman"/>
      <family val="1"/>
    </font>
    <font>
      <b/>
      <sz val="12"/>
      <color rgb="FF0000FF"/>
      <name val="Times New Roman"/>
      <family val="1"/>
    </font>
    <font>
      <i/>
      <sz val="13"/>
      <color rgb="FF0000FF"/>
      <name val="Times New Roman"/>
      <family val="1"/>
    </font>
    <font>
      <b/>
      <i/>
      <sz val="10"/>
      <color rgb="FF0000FF"/>
      <name val="Times New Roman"/>
      <family val="1"/>
    </font>
    <font>
      <b/>
      <u/>
      <sz val="12"/>
      <color rgb="FF0070C0"/>
      <name val="Times New Roman"/>
      <family val="1"/>
    </font>
    <font>
      <b/>
      <i/>
      <u/>
      <sz val="12"/>
      <color rgb="FF0070C0"/>
      <name val="Times New Roman"/>
      <family val="1"/>
    </font>
    <font>
      <i/>
      <sz val="12"/>
      <color rgb="FF7030A0"/>
      <name val="Times New Roman"/>
      <family val="1"/>
    </font>
    <font>
      <sz val="11"/>
      <color indexed="8"/>
      <name val="Calibri"/>
      <family val="2"/>
    </font>
    <font>
      <b/>
      <sz val="12"/>
      <color rgb="FF0070C0"/>
      <name val="Times New Roman"/>
      <family val="1"/>
    </font>
    <font>
      <i/>
      <sz val="12"/>
      <color rgb="FF0070C0"/>
      <name val="Times New Roman"/>
      <family val="1"/>
    </font>
    <font>
      <b/>
      <sz val="11"/>
      <color rgb="FF7030A0"/>
      <name val="Times New Roman"/>
      <family val="1"/>
    </font>
    <font>
      <sz val="12"/>
      <color rgb="FF7030A0"/>
      <name val="Times New Roman"/>
      <family val="1"/>
    </font>
    <font>
      <i/>
      <sz val="14"/>
      <name val="Times New Roman"/>
      <family val="1"/>
    </font>
    <font>
      <b/>
      <u/>
      <sz val="10"/>
      <name val="Times New Roman"/>
      <family val="1"/>
    </font>
    <font>
      <u/>
      <sz val="12"/>
      <name val="Times New Roman"/>
      <family val="1"/>
    </font>
    <font>
      <u/>
      <sz val="10"/>
      <name val="Times New Roman"/>
      <family val="1"/>
    </font>
    <font>
      <b/>
      <sz val="20"/>
      <name val="Times New Roman"/>
      <family val="1"/>
    </font>
  </fonts>
  <fills count="3">
    <fill>
      <patternFill patternType="none"/>
    </fill>
    <fill>
      <patternFill patternType="gray125"/>
    </fill>
    <fill>
      <patternFill patternType="solid">
        <fgColor rgb="FFCC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s>
  <cellStyleXfs count="24">
    <xf numFmtId="0" fontId="0" fillId="0" borderId="0" applyNumberFormat="0" applyFill="0" applyBorder="0" applyAlignment="0" applyProtection="0">
      <alignment vertical="top"/>
    </xf>
    <xf numFmtId="43" fontId="3" fillId="0" borderId="0" applyFont="0" applyFill="0" applyBorder="0" applyAlignment="0" applyProtection="0"/>
    <xf numFmtId="0" fontId="7" fillId="0" borderId="10" applyNumberFormat="0" applyFont="0" applyAlignment="0"/>
    <xf numFmtId="0" fontId="15" fillId="0" borderId="0"/>
    <xf numFmtId="0" fontId="16" fillId="0" borderId="0"/>
    <xf numFmtId="43" fontId="16" fillId="0" borderId="0" applyFont="0" applyFill="0" applyBorder="0" applyAlignment="0" applyProtection="0"/>
    <xf numFmtId="0" fontId="3" fillId="0" borderId="0"/>
    <xf numFmtId="0" fontId="3" fillId="0" borderId="0"/>
    <xf numFmtId="0" fontId="18" fillId="0" borderId="0"/>
    <xf numFmtId="43" fontId="18" fillId="0" borderId="0" applyFont="0" applyFill="0" applyBorder="0" applyAlignment="0" applyProtection="0"/>
    <xf numFmtId="164" fontId="15" fillId="0" borderId="0" applyFont="0" applyFill="0" applyBorder="0" applyAlignment="0" applyProtection="0"/>
    <xf numFmtId="0" fontId="19" fillId="0" borderId="0" applyNumberFormat="0" applyFill="0" applyBorder="0" applyAlignment="0" applyProtection="0">
      <alignment vertical="top"/>
    </xf>
    <xf numFmtId="0" fontId="19" fillId="0" borderId="0" applyNumberFormat="0" applyFill="0" applyBorder="0" applyAlignment="0" applyProtection="0">
      <alignment vertical="top"/>
    </xf>
    <xf numFmtId="43" fontId="18" fillId="0" borderId="0" applyFont="0" applyFill="0" applyBorder="0" applyAlignment="0" applyProtection="0"/>
    <xf numFmtId="0" fontId="20" fillId="0" borderId="0"/>
    <xf numFmtId="166" fontId="20" fillId="0" borderId="0" applyFont="0" applyFill="0" applyBorder="0" applyAlignment="0" applyProtection="0"/>
    <xf numFmtId="9" fontId="32" fillId="0" borderId="0" applyFont="0" applyFill="0" applyBorder="0" applyAlignment="0" applyProtection="0"/>
    <xf numFmtId="43" fontId="3" fillId="0" borderId="0" applyFont="0" applyFill="0" applyBorder="0" applyAlignment="0" applyProtection="0"/>
    <xf numFmtId="164" fontId="16" fillId="0" borderId="0" applyFont="0" applyFill="0" applyBorder="0" applyAlignment="0" applyProtection="0"/>
    <xf numFmtId="43" fontId="1" fillId="0" borderId="0" applyFont="0" applyFill="0" applyBorder="0" applyAlignment="0" applyProtection="0"/>
    <xf numFmtId="0" fontId="20" fillId="0" borderId="0"/>
    <xf numFmtId="0" fontId="15" fillId="0" borderId="0"/>
    <xf numFmtId="0" fontId="15" fillId="0" borderId="0"/>
    <xf numFmtId="167" fontId="42" fillId="0" borderId="0" applyFont="0" applyFill="0" applyBorder="0" applyAlignment="0" applyProtection="0"/>
  </cellStyleXfs>
  <cellXfs count="221">
    <xf numFmtId="0" fontId="2" fillId="0" borderId="0" xfId="0" applyNumberFormat="1" applyFont="1" applyFill="1" applyBorder="1" applyAlignment="1" applyProtection="1">
      <alignment horizontal="left"/>
      <protection locked="0"/>
    </xf>
    <xf numFmtId="3" fontId="4" fillId="0" borderId="9" xfId="0" applyNumberFormat="1" applyFont="1" applyFill="1" applyBorder="1" applyAlignment="1" applyProtection="1">
      <alignment horizontal="right" vertical="center"/>
      <protection locked="0"/>
    </xf>
    <xf numFmtId="3" fontId="12" fillId="0" borderId="0" xfId="0" applyNumberFormat="1" applyFont="1" applyFill="1" applyBorder="1" applyAlignment="1" applyProtection="1">
      <alignment horizontal="right"/>
      <protection locked="0"/>
    </xf>
    <xf numFmtId="3" fontId="12" fillId="0" borderId="1" xfId="0" applyNumberFormat="1" applyFont="1" applyFill="1" applyBorder="1" applyAlignment="1" applyProtection="1">
      <alignment horizontal="center" vertical="center"/>
      <protection locked="0"/>
    </xf>
    <xf numFmtId="3" fontId="11" fillId="0" borderId="1" xfId="0" applyNumberFormat="1" applyFont="1" applyFill="1" applyBorder="1" applyAlignment="1" applyProtection="1">
      <alignment horizontal="center" vertical="center"/>
      <protection locked="0"/>
    </xf>
    <xf numFmtId="0" fontId="11" fillId="0" borderId="1" xfId="0" applyNumberFormat="1" applyFont="1" applyFill="1" applyBorder="1" applyAlignment="1" applyProtection="1">
      <alignment horizontal="center" vertical="center"/>
      <protection locked="0"/>
    </xf>
    <xf numFmtId="3" fontId="4" fillId="0" borderId="0" xfId="0" applyNumberFormat="1" applyFont="1" applyFill="1" applyAlignment="1"/>
    <xf numFmtId="0" fontId="4" fillId="0" borderId="0" xfId="0" applyFont="1" applyFill="1" applyAlignment="1"/>
    <xf numFmtId="3" fontId="4" fillId="0" borderId="9" xfId="17" applyNumberFormat="1" applyFont="1" applyFill="1" applyBorder="1" applyAlignment="1">
      <alignment vertical="center"/>
    </xf>
    <xf numFmtId="3" fontId="4" fillId="0" borderId="0" xfId="6" applyNumberFormat="1" applyFont="1" applyFill="1"/>
    <xf numFmtId="3" fontId="6" fillId="0" borderId="0" xfId="6" applyNumberFormat="1" applyFont="1" applyFill="1"/>
    <xf numFmtId="3" fontId="31" fillId="0" borderId="7" xfId="7" applyNumberFormat="1" applyFont="1" applyFill="1" applyBorder="1" applyAlignment="1">
      <alignment horizontal="center" vertical="center" wrapText="1"/>
    </xf>
    <xf numFmtId="3" fontId="31" fillId="0" borderId="7" xfId="7" applyNumberFormat="1" applyFont="1" applyFill="1" applyBorder="1" applyAlignment="1">
      <alignment vertical="center"/>
    </xf>
    <xf numFmtId="3" fontId="31" fillId="0" borderId="7" xfId="7" applyNumberFormat="1" applyFont="1" applyFill="1" applyBorder="1" applyAlignment="1">
      <alignment horizontal="right" vertical="center"/>
    </xf>
    <xf numFmtId="3" fontId="4" fillId="0" borderId="9" xfId="6" applyNumberFormat="1" applyFont="1" applyFill="1" applyBorder="1" applyAlignment="1">
      <alignment horizontal="center" vertical="center"/>
    </xf>
    <xf numFmtId="3" fontId="4" fillId="0" borderId="9" xfId="6" applyNumberFormat="1" applyFont="1" applyFill="1" applyBorder="1" applyAlignment="1">
      <alignment vertical="center" wrapText="1"/>
    </xf>
    <xf numFmtId="9" fontId="4" fillId="0" borderId="9" xfId="6" applyNumberFormat="1" applyFont="1" applyFill="1" applyBorder="1" applyAlignment="1">
      <alignment vertical="center" wrapText="1"/>
    </xf>
    <xf numFmtId="3" fontId="4" fillId="0" borderId="9" xfId="6" applyNumberFormat="1" applyFont="1" applyFill="1" applyBorder="1" applyAlignment="1">
      <alignment vertical="center"/>
    </xf>
    <xf numFmtId="9" fontId="4" fillId="0" borderId="9" xfId="6" applyNumberFormat="1" applyFont="1" applyFill="1" applyBorder="1" applyAlignment="1">
      <alignment vertical="center"/>
    </xf>
    <xf numFmtId="3" fontId="4" fillId="0" borderId="11" xfId="6" applyNumberFormat="1" applyFont="1" applyFill="1" applyBorder="1" applyAlignment="1">
      <alignment horizontal="center"/>
    </xf>
    <xf numFmtId="3" fontId="5" fillId="0" borderId="11" xfId="6" applyNumberFormat="1" applyFont="1" applyFill="1" applyBorder="1" applyAlignment="1">
      <alignment horizontal="left"/>
    </xf>
    <xf numFmtId="9" fontId="5" fillId="0" borderId="11" xfId="6" applyNumberFormat="1" applyFont="1" applyFill="1" applyBorder="1" applyAlignment="1">
      <alignment horizontal="left"/>
    </xf>
    <xf numFmtId="3" fontId="5" fillId="0" borderId="11" xfId="6" applyNumberFormat="1" applyFont="1" applyFill="1" applyBorder="1"/>
    <xf numFmtId="3" fontId="4" fillId="0" borderId="11" xfId="6" applyNumberFormat="1" applyFont="1" applyFill="1" applyBorder="1"/>
    <xf numFmtId="9" fontId="5" fillId="0" borderId="0" xfId="6" applyNumberFormat="1" applyFont="1" applyFill="1" applyAlignment="1">
      <alignment horizontal="left" vertical="center" wrapText="1"/>
    </xf>
    <xf numFmtId="3" fontId="4" fillId="0" borderId="0" xfId="6" applyNumberFormat="1" applyFont="1" applyFill="1" applyAlignment="1">
      <alignment vertical="center"/>
    </xf>
    <xf numFmtId="3" fontId="4" fillId="0" borderId="0" xfId="6" applyNumberFormat="1" applyFont="1" applyFill="1" applyAlignment="1">
      <alignment vertical="center" wrapText="1"/>
    </xf>
    <xf numFmtId="9" fontId="4" fillId="0" borderId="0" xfId="6" applyNumberFormat="1" applyFont="1" applyFill="1" applyAlignment="1">
      <alignment vertical="center" wrapText="1"/>
    </xf>
    <xf numFmtId="3" fontId="5" fillId="0" borderId="0" xfId="6" applyNumberFormat="1" applyFont="1" applyFill="1" applyAlignment="1">
      <alignment horizontal="center" vertical="center"/>
    </xf>
    <xf numFmtId="9" fontId="5" fillId="0" borderId="0" xfId="6" applyNumberFormat="1" applyFont="1" applyFill="1" applyAlignment="1">
      <alignment horizontal="center" vertical="center"/>
    </xf>
    <xf numFmtId="3" fontId="5" fillId="0" borderId="0" xfId="6" applyNumberFormat="1" applyFont="1" applyFill="1" applyAlignment="1">
      <alignment vertical="center"/>
    </xf>
    <xf numFmtId="3" fontId="4" fillId="0" borderId="0" xfId="6" applyNumberFormat="1" applyFont="1" applyFill="1" applyAlignment="1">
      <alignment horizontal="center"/>
    </xf>
    <xf numFmtId="9" fontId="5" fillId="0" borderId="0" xfId="6" applyNumberFormat="1" applyFont="1" applyFill="1" applyAlignment="1">
      <alignment horizontal="center"/>
    </xf>
    <xf numFmtId="3" fontId="5" fillId="0" borderId="0" xfId="6" applyNumberFormat="1" applyFont="1" applyFill="1"/>
    <xf numFmtId="9" fontId="4" fillId="0" borderId="0" xfId="6" applyNumberFormat="1" applyFont="1" applyFill="1"/>
    <xf numFmtId="3" fontId="6" fillId="0" borderId="0" xfId="6" applyNumberFormat="1" applyFont="1" applyFill="1" applyAlignment="1">
      <alignment vertical="center"/>
    </xf>
    <xf numFmtId="3" fontId="22" fillId="0" borderId="0" xfId="7" applyNumberFormat="1" applyFont="1" applyFill="1" applyAlignment="1">
      <alignment vertical="center" wrapText="1"/>
    </xf>
    <xf numFmtId="0" fontId="23" fillId="0" borderId="0" xfId="0" applyNumberFormat="1" applyFont="1" applyFill="1" applyBorder="1" applyAlignment="1" applyProtection="1">
      <alignment horizontal="left"/>
      <protection locked="0"/>
    </xf>
    <xf numFmtId="0" fontId="12" fillId="0" borderId="0" xfId="0" applyNumberFormat="1" applyFont="1" applyFill="1" applyBorder="1" applyAlignment="1" applyProtection="1">
      <alignment horizontal="left" vertical="center"/>
      <protection locked="0"/>
    </xf>
    <xf numFmtId="3" fontId="12" fillId="0" borderId="1" xfId="0" applyNumberFormat="1" applyFont="1" applyFill="1" applyBorder="1" applyAlignment="1" applyProtection="1">
      <alignment horizontal="right" vertical="center"/>
      <protection locked="0"/>
    </xf>
    <xf numFmtId="3" fontId="4" fillId="0" borderId="0" xfId="0" applyNumberFormat="1" applyFont="1" applyFill="1" applyAlignment="1">
      <alignment vertical="center"/>
    </xf>
    <xf numFmtId="0" fontId="4" fillId="0" borderId="0" xfId="0" applyFont="1" applyFill="1" applyAlignment="1">
      <alignment vertical="center"/>
    </xf>
    <xf numFmtId="3" fontId="22" fillId="0" borderId="0" xfId="7" applyNumberFormat="1" applyFont="1" applyFill="1" applyAlignment="1">
      <alignment horizontal="center" vertical="center" wrapText="1"/>
    </xf>
    <xf numFmtId="3" fontId="31" fillId="0" borderId="0" xfId="7" applyNumberFormat="1" applyFont="1" applyFill="1" applyBorder="1" applyAlignment="1">
      <alignment horizontal="right" vertical="center"/>
    </xf>
    <xf numFmtId="3" fontId="5" fillId="0" borderId="8" xfId="6" applyNumberFormat="1" applyFont="1" applyFill="1" applyBorder="1" applyAlignment="1">
      <alignment horizontal="center" vertical="center"/>
    </xf>
    <xf numFmtId="9" fontId="5" fillId="0" borderId="8" xfId="6" applyNumberFormat="1" applyFont="1" applyFill="1" applyBorder="1" applyAlignment="1">
      <alignment vertical="center"/>
    </xf>
    <xf numFmtId="3" fontId="5" fillId="0" borderId="8" xfId="6" applyNumberFormat="1" applyFont="1" applyFill="1" applyBorder="1" applyAlignment="1">
      <alignment vertical="center"/>
    </xf>
    <xf numFmtId="3" fontId="4" fillId="0" borderId="1" xfId="6" applyNumberFormat="1" applyFont="1" applyFill="1" applyBorder="1" applyAlignment="1">
      <alignment horizontal="center" vertical="center" wrapText="1"/>
    </xf>
    <xf numFmtId="3" fontId="33" fillId="0" borderId="8" xfId="6" applyNumberFormat="1" applyFont="1" applyFill="1" applyBorder="1" applyAlignment="1">
      <alignment vertical="center" wrapText="1"/>
    </xf>
    <xf numFmtId="3" fontId="33" fillId="0" borderId="9" xfId="6" applyNumberFormat="1" applyFont="1" applyFill="1" applyBorder="1" applyAlignment="1">
      <alignment vertical="center" wrapText="1"/>
    </xf>
    <xf numFmtId="3" fontId="6" fillId="0" borderId="0" xfId="6" applyNumberFormat="1" applyFont="1" applyFill="1" applyAlignment="1">
      <alignment vertical="center" wrapText="1"/>
    </xf>
    <xf numFmtId="3" fontId="4" fillId="0" borderId="0" xfId="6" applyNumberFormat="1" applyFont="1" applyFill="1" applyAlignment="1">
      <alignment horizontal="right" vertical="center"/>
    </xf>
    <xf numFmtId="3" fontId="4" fillId="0" borderId="0" xfId="6" applyNumberFormat="1" applyFont="1" applyFill="1" applyAlignment="1">
      <alignment horizontal="right" vertical="center" wrapText="1"/>
    </xf>
    <xf numFmtId="0" fontId="13" fillId="0" borderId="0" xfId="0" applyFont="1" applyAlignment="1">
      <alignment vertical="center"/>
    </xf>
    <xf numFmtId="0" fontId="13" fillId="0" borderId="0" xfId="0" applyFont="1" applyAlignment="1"/>
    <xf numFmtId="0" fontId="4" fillId="0" borderId="0" xfId="0" applyFont="1" applyAlignment="1"/>
    <xf numFmtId="0" fontId="31" fillId="0" borderId="0" xfId="0" applyFont="1" applyAlignment="1">
      <alignment horizontal="right"/>
    </xf>
    <xf numFmtId="0" fontId="4" fillId="0" borderId="0" xfId="0" applyFont="1" applyAlignment="1">
      <alignment vertical="center"/>
    </xf>
    <xf numFmtId="3" fontId="25" fillId="0" borderId="1" xfId="22" applyNumberFormat="1" applyFont="1" applyBorder="1" applyAlignment="1">
      <alignment horizontal="center" vertical="center" wrapText="1"/>
    </xf>
    <xf numFmtId="0" fontId="12" fillId="0" borderId="0" xfId="0" applyFont="1" applyAlignment="1">
      <alignment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34" fillId="0" borderId="8" xfId="0" applyFont="1" applyBorder="1" applyAlignment="1">
      <alignment horizontal="center" vertical="center"/>
    </xf>
    <xf numFmtId="165" fontId="34" fillId="0" borderId="8" xfId="15" applyNumberFormat="1" applyFont="1" applyFill="1" applyBorder="1" applyAlignment="1">
      <alignment vertical="center"/>
    </xf>
    <xf numFmtId="0" fontId="35" fillId="0" borderId="0" xfId="0" applyFont="1" applyAlignment="1">
      <alignment vertical="center"/>
    </xf>
    <xf numFmtId="0" fontId="26" fillId="0" borderId="9" xfId="0" applyFont="1" applyBorder="1" applyAlignment="1">
      <alignment vertical="center"/>
    </xf>
    <xf numFmtId="165" fontId="26" fillId="0" borderId="9" xfId="15" applyNumberFormat="1" applyFont="1" applyFill="1" applyBorder="1" applyAlignment="1">
      <alignment vertical="center"/>
    </xf>
    <xf numFmtId="0" fontId="26" fillId="0" borderId="0" xfId="0" applyFont="1" applyAlignment="1">
      <alignment vertical="center"/>
    </xf>
    <xf numFmtId="0" fontId="14" fillId="0" borderId="9" xfId="0" applyFont="1" applyBorder="1" applyAlignment="1">
      <alignment vertical="center"/>
    </xf>
    <xf numFmtId="165" fontId="14" fillId="0" borderId="9" xfId="15" applyNumberFormat="1" applyFont="1" applyFill="1" applyBorder="1" applyAlignment="1">
      <alignment vertical="center"/>
    </xf>
    <xf numFmtId="0" fontId="14" fillId="0" borderId="0" xfId="0" applyFont="1" applyAlignment="1">
      <alignment vertical="center"/>
    </xf>
    <xf numFmtId="3" fontId="4" fillId="0" borderId="9" xfId="6" applyNumberFormat="1" applyFont="1" applyBorder="1" applyAlignment="1">
      <alignment vertical="center" wrapText="1"/>
    </xf>
    <xf numFmtId="3" fontId="4" fillId="0" borderId="9" xfId="6" applyNumberFormat="1" applyFont="1" applyBorder="1" applyAlignment="1">
      <alignment vertical="center"/>
    </xf>
    <xf numFmtId="165" fontId="5" fillId="0" borderId="9" xfId="15" applyNumberFormat="1" applyFont="1" applyFill="1" applyBorder="1" applyAlignment="1">
      <alignment vertical="center"/>
    </xf>
    <xf numFmtId="0" fontId="5" fillId="0" borderId="0" xfId="0" applyFont="1" applyAlignment="1">
      <alignment vertical="center"/>
    </xf>
    <xf numFmtId="3" fontId="4" fillId="0" borderId="9" xfId="0" applyNumberFormat="1" applyFont="1" applyBorder="1" applyAlignment="1">
      <alignment vertical="center"/>
    </xf>
    <xf numFmtId="165" fontId="4" fillId="0" borderId="9" xfId="15" applyNumberFormat="1" applyFont="1" applyFill="1" applyBorder="1" applyAlignment="1">
      <alignment vertical="center"/>
    </xf>
    <xf numFmtId="165" fontId="26" fillId="0" borderId="12" xfId="15" applyNumberFormat="1" applyFont="1" applyFill="1" applyBorder="1" applyAlignment="1">
      <alignment vertical="center"/>
    </xf>
    <xf numFmtId="0" fontId="26" fillId="0" borderId="9" xfId="0" applyFont="1" applyBorder="1" applyAlignment="1">
      <alignment vertical="center" wrapText="1"/>
    </xf>
    <xf numFmtId="165" fontId="26" fillId="0" borderId="9" xfId="0" applyNumberFormat="1" applyFont="1" applyBorder="1" applyAlignment="1">
      <alignment vertical="center"/>
    </xf>
    <xf numFmtId="0" fontId="39" fillId="0" borderId="9" xfId="0" applyFont="1" applyBorder="1" applyAlignment="1">
      <alignment vertical="center"/>
    </xf>
    <xf numFmtId="165" fontId="39" fillId="0" borderId="9" xfId="15" applyNumberFormat="1" applyFont="1" applyFill="1" applyBorder="1" applyAlignment="1">
      <alignment vertical="center"/>
    </xf>
    <xf numFmtId="0" fontId="40" fillId="0" borderId="0" xfId="0" applyFont="1" applyAlignment="1">
      <alignment vertical="center"/>
    </xf>
    <xf numFmtId="165" fontId="40" fillId="0" borderId="0" xfId="0" applyNumberFormat="1" applyFont="1" applyAlignment="1">
      <alignment vertical="center"/>
    </xf>
    <xf numFmtId="0" fontId="5" fillId="0" borderId="9" xfId="0" applyFont="1" applyBorder="1" applyAlignment="1">
      <alignment vertical="center"/>
    </xf>
    <xf numFmtId="165" fontId="36" fillId="0" borderId="9" xfId="15" applyNumberFormat="1" applyFont="1" applyFill="1" applyBorder="1" applyAlignment="1">
      <alignment vertical="center"/>
    </xf>
    <xf numFmtId="0" fontId="29" fillId="0" borderId="9" xfId="0" applyFont="1" applyBorder="1" applyAlignment="1">
      <alignment vertical="center"/>
    </xf>
    <xf numFmtId="165" fontId="29" fillId="0" borderId="9" xfId="15" applyNumberFormat="1" applyFont="1" applyFill="1" applyBorder="1" applyAlignment="1">
      <alignment vertical="center"/>
    </xf>
    <xf numFmtId="165" fontId="29" fillId="0" borderId="0" xfId="0" applyNumberFormat="1" applyFont="1" applyAlignment="1">
      <alignment vertical="center"/>
    </xf>
    <xf numFmtId="0" fontId="29" fillId="0" borderId="0" xfId="0" applyFont="1" applyAlignment="1">
      <alignment vertical="center"/>
    </xf>
    <xf numFmtId="0" fontId="4" fillId="0" borderId="9" xfId="0" applyFont="1" applyBorder="1" applyAlignment="1">
      <alignment vertical="center"/>
    </xf>
    <xf numFmtId="3" fontId="4" fillId="0" borderId="9" xfId="15" applyNumberFormat="1" applyFont="1" applyFill="1" applyBorder="1" applyAlignment="1">
      <alignment vertical="center"/>
    </xf>
    <xf numFmtId="165" fontId="4" fillId="0" borderId="0" xfId="0" applyNumberFormat="1" applyFont="1" applyAlignment="1">
      <alignment vertical="center"/>
    </xf>
    <xf numFmtId="0" fontId="4" fillId="0" borderId="9" xfId="0" applyFont="1" applyBorder="1" applyAlignment="1">
      <alignment vertical="center" wrapText="1"/>
    </xf>
    <xf numFmtId="3" fontId="29" fillId="0" borderId="9" xfId="15" applyNumberFormat="1" applyFont="1" applyFill="1" applyBorder="1" applyAlignment="1">
      <alignment vertical="center" wrapText="1"/>
    </xf>
    <xf numFmtId="165" fontId="4" fillId="0" borderId="9" xfId="15" applyNumberFormat="1" applyFont="1" applyFill="1" applyBorder="1" applyAlignment="1">
      <alignment vertical="center" wrapText="1"/>
    </xf>
    <xf numFmtId="0" fontId="28" fillId="0" borderId="9" xfId="0" applyFont="1" applyBorder="1" applyAlignment="1">
      <alignment vertical="center"/>
    </xf>
    <xf numFmtId="165" fontId="28" fillId="0" borderId="9" xfId="15" applyNumberFormat="1" applyFont="1" applyFill="1" applyBorder="1" applyAlignment="1">
      <alignment vertical="center"/>
    </xf>
    <xf numFmtId="0" fontId="41" fillId="0" borderId="0" xfId="0" applyFont="1" applyAlignment="1">
      <alignment vertical="center"/>
    </xf>
    <xf numFmtId="0" fontId="5" fillId="0" borderId="9" xfId="0" applyFont="1" applyBorder="1" applyAlignment="1">
      <alignment vertical="center" wrapText="1"/>
    </xf>
    <xf numFmtId="165" fontId="5" fillId="0" borderId="0" xfId="0" applyNumberFormat="1" applyFont="1" applyAlignment="1">
      <alignment vertical="center"/>
    </xf>
    <xf numFmtId="0" fontId="30" fillId="0" borderId="9" xfId="0" applyFont="1" applyBorder="1" applyAlignment="1">
      <alignment vertical="center"/>
    </xf>
    <xf numFmtId="165" fontId="30" fillId="0" borderId="9" xfId="15" applyNumberFormat="1" applyFont="1" applyFill="1" applyBorder="1" applyAlignment="1">
      <alignment vertical="center"/>
    </xf>
    <xf numFmtId="0" fontId="30" fillId="0" borderId="0" xfId="0" applyFont="1" applyAlignment="1">
      <alignment vertical="center"/>
    </xf>
    <xf numFmtId="3" fontId="30" fillId="0" borderId="9" xfId="15" applyNumberFormat="1" applyFont="1" applyFill="1" applyBorder="1" applyAlignment="1">
      <alignment vertical="center" wrapText="1"/>
    </xf>
    <xf numFmtId="3" fontId="4" fillId="0" borderId="9" xfId="15" applyNumberFormat="1" applyFont="1" applyFill="1" applyBorder="1" applyAlignment="1">
      <alignment vertical="center" wrapText="1"/>
    </xf>
    <xf numFmtId="0" fontId="24" fillId="0" borderId="0" xfId="0" applyFont="1" applyAlignment="1">
      <alignment vertical="center"/>
    </xf>
    <xf numFmtId="165" fontId="5" fillId="0" borderId="9" xfId="0" applyNumberFormat="1" applyFont="1" applyBorder="1" applyAlignment="1">
      <alignment vertical="center"/>
    </xf>
    <xf numFmtId="0" fontId="14" fillId="0" borderId="9" xfId="0" quotePrefix="1" applyFont="1" applyBorder="1" applyAlignment="1">
      <alignment vertical="center" wrapText="1"/>
    </xf>
    <xf numFmtId="165" fontId="14" fillId="0" borderId="9" xfId="0" applyNumberFormat="1" applyFont="1" applyBorder="1" applyAlignment="1">
      <alignment vertical="center"/>
    </xf>
    <xf numFmtId="165" fontId="4" fillId="0" borderId="9" xfId="23" quotePrefix="1" applyNumberFormat="1" applyFont="1" applyFill="1" applyBorder="1" applyAlignment="1">
      <alignment vertical="center" wrapText="1"/>
    </xf>
    <xf numFmtId="165" fontId="14" fillId="0" borderId="9" xfId="23" quotePrefix="1" applyNumberFormat="1" applyFont="1" applyFill="1" applyBorder="1" applyAlignment="1">
      <alignment vertical="center" wrapText="1"/>
    </xf>
    <xf numFmtId="165" fontId="31" fillId="0" borderId="9" xfId="15" applyNumberFormat="1" applyFont="1" applyFill="1" applyBorder="1" applyAlignment="1">
      <alignment vertical="center"/>
    </xf>
    <xf numFmtId="0" fontId="31" fillId="0" borderId="0" xfId="0" applyFont="1" applyAlignment="1">
      <alignment vertical="center"/>
    </xf>
    <xf numFmtId="0" fontId="43" fillId="0" borderId="9" xfId="0" applyFont="1" applyBorder="1" applyAlignment="1">
      <alignment vertical="center" wrapText="1"/>
    </xf>
    <xf numFmtId="165" fontId="43" fillId="0" borderId="9" xfId="15" applyNumberFormat="1" applyFont="1" applyFill="1" applyBorder="1" applyAlignment="1">
      <alignment vertical="center"/>
    </xf>
    <xf numFmtId="0" fontId="44" fillId="0" borderId="0" xfId="0" applyFont="1" applyAlignment="1">
      <alignment vertical="center"/>
    </xf>
    <xf numFmtId="0" fontId="45" fillId="0" borderId="9" xfId="0" quotePrefix="1" applyFont="1" applyBorder="1" applyAlignment="1">
      <alignment vertical="center"/>
    </xf>
    <xf numFmtId="0" fontId="46" fillId="0" borderId="0" xfId="0" applyFont="1" applyAlignment="1">
      <alignment vertical="center"/>
    </xf>
    <xf numFmtId="165" fontId="14" fillId="0" borderId="9" xfId="15" quotePrefix="1" applyNumberFormat="1" applyFont="1" applyFill="1" applyBorder="1" applyAlignment="1">
      <alignment vertical="center" wrapText="1"/>
    </xf>
    <xf numFmtId="3" fontId="14" fillId="0" borderId="9" xfId="15" applyNumberFormat="1" applyFont="1" applyFill="1" applyBorder="1" applyAlignment="1">
      <alignment vertical="center"/>
    </xf>
    <xf numFmtId="165" fontId="4" fillId="0" borderId="9" xfId="15" quotePrefix="1" applyNumberFormat="1" applyFont="1" applyFill="1" applyBorder="1" applyAlignment="1">
      <alignment vertical="center" wrapText="1"/>
    </xf>
    <xf numFmtId="0" fontId="5" fillId="0" borderId="11" xfId="0" applyFont="1" applyBorder="1" applyAlignment="1"/>
    <xf numFmtId="0" fontId="4" fillId="0" borderId="11" xfId="0" applyFont="1" applyBorder="1" applyAlignment="1"/>
    <xf numFmtId="0" fontId="5" fillId="0" borderId="0" xfId="0" applyFont="1" applyAlignment="1"/>
    <xf numFmtId="0" fontId="31" fillId="0" borderId="0" xfId="0" applyFont="1" applyFill="1" applyAlignment="1">
      <alignment vertical="center"/>
    </xf>
    <xf numFmtId="165" fontId="34" fillId="2" borderId="9" xfId="15" applyNumberFormat="1" applyFont="1" applyFill="1" applyBorder="1" applyAlignment="1">
      <alignment vertical="center"/>
    </xf>
    <xf numFmtId="3" fontId="12" fillId="0" borderId="1" xfId="0" applyNumberFormat="1" applyFont="1" applyFill="1" applyBorder="1" applyAlignment="1" applyProtection="1">
      <alignment vertical="center"/>
      <protection locked="0"/>
    </xf>
    <xf numFmtId="0" fontId="11" fillId="0" borderId="0" xfId="0" applyNumberFormat="1" applyFont="1" applyFill="1" applyBorder="1" applyAlignment="1" applyProtection="1">
      <alignment horizontal="center" vertical="center"/>
      <protection locked="0"/>
    </xf>
    <xf numFmtId="0" fontId="34" fillId="2" borderId="9" xfId="0" applyFont="1" applyFill="1" applyBorder="1" applyAlignment="1">
      <alignment horizontal="center" vertical="center"/>
    </xf>
    <xf numFmtId="0" fontId="34" fillId="2" borderId="0" xfId="0" applyFont="1" applyFill="1" applyAlignment="1">
      <alignment vertical="center"/>
    </xf>
    <xf numFmtId="165" fontId="34" fillId="2" borderId="0" xfId="0" applyNumberFormat="1" applyFont="1" applyFill="1" applyAlignment="1">
      <alignment vertical="center"/>
    </xf>
    <xf numFmtId="165" fontId="4" fillId="0" borderId="9" xfId="1" applyNumberFormat="1" applyFont="1" applyFill="1" applyBorder="1" applyAlignment="1">
      <alignment vertical="center" wrapText="1"/>
    </xf>
    <xf numFmtId="0" fontId="4" fillId="0" borderId="1" xfId="0" applyFont="1" applyFill="1" applyBorder="1" applyAlignment="1">
      <alignment horizontal="center" vertical="center" wrapText="1"/>
    </xf>
    <xf numFmtId="9" fontId="4" fillId="0" borderId="9" xfId="16" applyFont="1" applyFill="1" applyBorder="1" applyAlignment="1">
      <alignment vertical="center" wrapText="1"/>
    </xf>
    <xf numFmtId="3" fontId="11" fillId="0" borderId="1" xfId="6" applyNumberFormat="1" applyFont="1" applyFill="1" applyBorder="1" applyAlignment="1">
      <alignment horizontal="center" vertical="center" wrapText="1"/>
    </xf>
    <xf numFmtId="9" fontId="11" fillId="0" borderId="1" xfId="6" quotePrefix="1" applyNumberFormat="1" applyFont="1" applyFill="1" applyBorder="1" applyAlignment="1">
      <alignment horizontal="center" vertical="center" wrapText="1"/>
    </xf>
    <xf numFmtId="0" fontId="11" fillId="0" borderId="0" xfId="0" applyFont="1" applyFill="1" applyAlignment="1"/>
    <xf numFmtId="0" fontId="11" fillId="0" borderId="1" xfId="0" applyFont="1" applyFill="1" applyBorder="1" applyAlignment="1"/>
    <xf numFmtId="3" fontId="4" fillId="0" borderId="0" xfId="6" applyNumberFormat="1" applyFont="1" applyFill="1" applyAlignment="1">
      <alignment horizontal="center" vertical="center"/>
    </xf>
    <xf numFmtId="3" fontId="5" fillId="0" borderId="0" xfId="6" applyNumberFormat="1" applyFont="1" applyFill="1" applyAlignment="1">
      <alignment horizontal="center" vertical="center" wrapText="1"/>
    </xf>
    <xf numFmtId="3" fontId="5" fillId="0" borderId="1" xfId="6" applyNumberFormat="1" applyFont="1" applyFill="1" applyBorder="1" applyAlignment="1">
      <alignment horizontal="center" vertical="center" wrapText="1"/>
    </xf>
    <xf numFmtId="3" fontId="5" fillId="0" borderId="0" xfId="6" applyNumberFormat="1" applyFont="1" applyFill="1" applyAlignment="1">
      <alignment horizontal="center"/>
    </xf>
    <xf numFmtId="3" fontId="6" fillId="0" borderId="0" xfId="6" applyNumberFormat="1" applyFont="1" applyFill="1" applyAlignment="1">
      <alignment horizontal="center" vertical="center" wrapText="1"/>
    </xf>
    <xf numFmtId="3" fontId="12" fillId="0" borderId="0" xfId="0" applyNumberFormat="1" applyFont="1" applyFill="1" applyBorder="1" applyAlignment="1" applyProtection="1">
      <alignment horizontal="left"/>
      <protection locked="0"/>
    </xf>
    <xf numFmtId="0" fontId="12" fillId="0" borderId="0" xfId="0" applyNumberFormat="1" applyFont="1" applyFill="1" applyBorder="1" applyAlignment="1" applyProtection="1">
      <alignment horizontal="left"/>
      <protection locked="0"/>
    </xf>
    <xf numFmtId="0" fontId="48" fillId="0" borderId="0" xfId="0" applyNumberFormat="1" applyFont="1" applyFill="1" applyBorder="1" applyAlignment="1" applyProtection="1">
      <alignment horizontal="left" vertical="center"/>
      <protection locked="0"/>
    </xf>
    <xf numFmtId="0" fontId="23" fillId="0" borderId="0" xfId="0" applyNumberFormat="1" applyFont="1" applyFill="1" applyBorder="1" applyAlignment="1" applyProtection="1">
      <alignment horizontal="left" vertical="center"/>
      <protection locked="0"/>
    </xf>
    <xf numFmtId="3" fontId="12" fillId="0" borderId="0" xfId="0" applyNumberFormat="1" applyFont="1" applyFill="1" applyBorder="1" applyAlignment="1" applyProtection="1">
      <alignment horizontal="left" vertical="center"/>
      <protection locked="0"/>
    </xf>
    <xf numFmtId="3" fontId="5" fillId="0" borderId="9" xfId="6" applyNumberFormat="1" applyFont="1" applyFill="1" applyBorder="1" applyAlignment="1">
      <alignment horizontal="center" vertical="center"/>
    </xf>
    <xf numFmtId="3" fontId="5" fillId="0" borderId="9" xfId="6" applyNumberFormat="1" applyFont="1" applyFill="1" applyBorder="1" applyAlignment="1">
      <alignment vertical="center"/>
    </xf>
    <xf numFmtId="9" fontId="5" fillId="0" borderId="9" xfId="6" applyNumberFormat="1" applyFont="1" applyFill="1" applyBorder="1" applyAlignment="1">
      <alignment vertical="center"/>
    </xf>
    <xf numFmtId="3" fontId="49" fillId="0" borderId="9" xfId="6" applyNumberFormat="1" applyFont="1" applyFill="1" applyBorder="1" applyAlignment="1">
      <alignment horizontal="center" vertical="center"/>
    </xf>
    <xf numFmtId="3" fontId="49" fillId="0" borderId="9" xfId="6" applyNumberFormat="1" applyFont="1" applyFill="1" applyBorder="1" applyAlignment="1">
      <alignment vertical="center"/>
    </xf>
    <xf numFmtId="9" fontId="49" fillId="0" borderId="9" xfId="6" applyNumberFormat="1" applyFont="1" applyFill="1" applyBorder="1" applyAlignment="1">
      <alignment vertical="center"/>
    </xf>
    <xf numFmtId="0" fontId="49" fillId="0" borderId="0" xfId="0" applyFont="1" applyFill="1" applyAlignment="1"/>
    <xf numFmtId="3" fontId="14" fillId="0" borderId="9" xfId="6" applyNumberFormat="1" applyFont="1" applyFill="1" applyBorder="1" applyAlignment="1">
      <alignment horizontal="center" vertical="center"/>
    </xf>
    <xf numFmtId="3" fontId="14" fillId="0" borderId="9" xfId="6" applyNumberFormat="1" applyFont="1" applyFill="1" applyBorder="1" applyAlignment="1">
      <alignment vertical="center" wrapText="1"/>
    </xf>
    <xf numFmtId="9" fontId="14" fillId="0" borderId="9" xfId="6" applyNumberFormat="1" applyFont="1" applyFill="1" applyBorder="1" applyAlignment="1">
      <alignment vertical="center"/>
    </xf>
    <xf numFmtId="3" fontId="14" fillId="0" borderId="9" xfId="6" applyNumberFormat="1" applyFont="1" applyFill="1" applyBorder="1" applyAlignment="1">
      <alignment vertical="center"/>
    </xf>
    <xf numFmtId="0" fontId="49" fillId="0" borderId="0" xfId="0" applyFont="1" applyFill="1" applyAlignment="1">
      <alignment vertical="center"/>
    </xf>
    <xf numFmtId="3" fontId="12" fillId="0" borderId="0" xfId="0" applyNumberFormat="1" applyFont="1" applyFill="1" applyBorder="1" applyAlignment="1" applyProtection="1">
      <alignment horizontal="center"/>
      <protection locked="0"/>
    </xf>
    <xf numFmtId="0" fontId="23" fillId="0" borderId="0" xfId="0" applyNumberFormat="1" applyFont="1" applyFill="1" applyBorder="1" applyAlignment="1" applyProtection="1">
      <alignment horizontal="center" vertical="center"/>
      <protection locked="0"/>
    </xf>
    <xf numFmtId="0" fontId="12" fillId="0" borderId="0" xfId="0" applyNumberFormat="1" applyFont="1" applyFill="1" applyBorder="1" applyAlignment="1" applyProtection="1">
      <alignment horizontal="right"/>
      <protection locked="0"/>
    </xf>
    <xf numFmtId="3" fontId="11" fillId="0" borderId="1" xfId="0" applyNumberFormat="1" applyFont="1" applyFill="1" applyBorder="1" applyAlignment="1" applyProtection="1">
      <alignment horizontal="center" vertical="center" wrapText="1"/>
      <protection locked="0"/>
    </xf>
    <xf numFmtId="0" fontId="48" fillId="0" borderId="1" xfId="0" applyNumberFormat="1" applyFont="1" applyFill="1" applyBorder="1" applyAlignment="1" applyProtection="1">
      <alignment horizontal="left" vertical="center"/>
      <protection locked="0"/>
    </xf>
    <xf numFmtId="0" fontId="48" fillId="0" borderId="1" xfId="0" applyNumberFormat="1" applyFont="1" applyFill="1" applyBorder="1" applyAlignment="1" applyProtection="1">
      <alignment horizontal="left" vertical="center" wrapText="1"/>
      <protection locked="0"/>
    </xf>
    <xf numFmtId="3" fontId="48" fillId="0" borderId="1" xfId="0" applyNumberFormat="1" applyFont="1" applyFill="1" applyBorder="1" applyAlignment="1" applyProtection="1">
      <alignment vertical="center"/>
      <protection locked="0"/>
    </xf>
    <xf numFmtId="0" fontId="12" fillId="0" borderId="1" xfId="0" applyNumberFormat="1" applyFont="1" applyFill="1" applyBorder="1" applyAlignment="1" applyProtection="1">
      <alignment horizontal="left" vertical="center"/>
      <protection locked="0"/>
    </xf>
    <xf numFmtId="0" fontId="12" fillId="0" borderId="1" xfId="0" applyNumberFormat="1" applyFont="1" applyFill="1" applyBorder="1" applyAlignment="1" applyProtection="1">
      <alignment horizontal="left" vertical="center" wrapText="1"/>
      <protection locked="0"/>
    </xf>
    <xf numFmtId="0" fontId="12" fillId="0" borderId="1" xfId="0" quotePrefix="1" applyNumberFormat="1" applyFont="1" applyFill="1" applyBorder="1" applyAlignment="1" applyProtection="1">
      <alignment horizontal="left" vertical="center" wrapText="1"/>
      <protection locked="0"/>
    </xf>
    <xf numFmtId="0" fontId="12" fillId="0" borderId="1" xfId="0" applyNumberFormat="1" applyFont="1" applyFill="1" applyBorder="1" applyAlignment="1" applyProtection="1">
      <alignment horizontal="left"/>
      <protection locked="0"/>
    </xf>
    <xf numFmtId="3" fontId="12" fillId="0" borderId="1" xfId="0" applyNumberFormat="1" applyFont="1" applyFill="1" applyBorder="1" applyAlignment="1" applyProtection="1">
      <alignment horizontal="left"/>
      <protection locked="0"/>
    </xf>
    <xf numFmtId="3" fontId="12" fillId="0" borderId="1" xfId="0" applyNumberFormat="1" applyFont="1" applyFill="1" applyBorder="1" applyAlignment="1" applyProtection="1">
      <alignment horizontal="center"/>
      <protection locked="0"/>
    </xf>
    <xf numFmtId="0" fontId="12" fillId="0" borderId="0" xfId="0" quotePrefix="1" applyNumberFormat="1" applyFont="1" applyFill="1" applyBorder="1" applyAlignment="1" applyProtection="1">
      <alignment horizontal="left"/>
      <protection locked="0"/>
    </xf>
    <xf numFmtId="3" fontId="50" fillId="0" borderId="0" xfId="0" applyNumberFormat="1" applyFont="1" applyFill="1" applyBorder="1" applyAlignment="1" applyProtection="1">
      <alignment horizontal="left"/>
      <protection locked="0"/>
    </xf>
    <xf numFmtId="3" fontId="50" fillId="0" borderId="0" xfId="0" applyNumberFormat="1" applyFont="1" applyFill="1" applyBorder="1" applyAlignment="1" applyProtection="1">
      <alignment horizontal="right"/>
      <protection locked="0"/>
    </xf>
    <xf numFmtId="0" fontId="50" fillId="0" borderId="0" xfId="0" applyNumberFormat="1" applyFont="1" applyFill="1" applyBorder="1" applyAlignment="1" applyProtection="1">
      <alignment horizontal="left"/>
      <protection locked="0"/>
    </xf>
    <xf numFmtId="3" fontId="51" fillId="0" borderId="0" xfId="0" quotePrefix="1" applyNumberFormat="1" applyFont="1" applyFill="1" applyBorder="1" applyAlignment="1" applyProtection="1">
      <alignment horizontal="left"/>
      <protection locked="0"/>
    </xf>
    <xf numFmtId="3" fontId="12" fillId="0" borderId="1" xfId="0" applyNumberFormat="1" applyFont="1" applyFill="1" applyBorder="1" applyAlignment="1" applyProtection="1">
      <alignment horizontal="center" vertical="center"/>
      <protection locked="0"/>
    </xf>
    <xf numFmtId="3" fontId="12" fillId="0" borderId="1" xfId="0" applyNumberFormat="1" applyFont="1" applyFill="1" applyBorder="1" applyAlignment="1" applyProtection="1">
      <alignment horizontal="center" vertical="center" wrapText="1"/>
      <protection locked="0"/>
    </xf>
    <xf numFmtId="0" fontId="23" fillId="0" borderId="1" xfId="0" applyNumberFormat="1" applyFont="1" applyFill="1" applyBorder="1" applyAlignment="1" applyProtection="1">
      <alignment horizontal="left" vertical="center"/>
      <protection locked="0"/>
    </xf>
    <xf numFmtId="0" fontId="23" fillId="0" borderId="1" xfId="0" applyNumberFormat="1" applyFont="1" applyFill="1" applyBorder="1" applyAlignment="1" applyProtection="1">
      <alignment horizontal="left" vertical="center" wrapText="1"/>
      <protection locked="0"/>
    </xf>
    <xf numFmtId="3" fontId="23" fillId="0" borderId="1" xfId="0" applyNumberFormat="1" applyFont="1" applyFill="1" applyBorder="1" applyAlignment="1" applyProtection="1">
      <alignment vertical="center"/>
      <protection locked="0"/>
    </xf>
    <xf numFmtId="3" fontId="12" fillId="0" borderId="4" xfId="0" applyNumberFormat="1" applyFont="1" applyFill="1" applyBorder="1" applyAlignment="1" applyProtection="1">
      <alignment vertical="center"/>
      <protection locked="0"/>
    </xf>
    <xf numFmtId="0" fontId="12" fillId="0" borderId="1" xfId="0" applyNumberFormat="1" applyFont="1" applyFill="1" applyBorder="1" applyAlignment="1" applyProtection="1">
      <alignment vertical="center" wrapText="1"/>
      <protection locked="0"/>
    </xf>
    <xf numFmtId="0" fontId="12" fillId="0" borderId="6" xfId="0" applyNumberFormat="1" applyFont="1" applyFill="1" applyBorder="1" applyAlignment="1" applyProtection="1">
      <alignment vertical="center" wrapText="1"/>
      <protection locked="0"/>
    </xf>
    <xf numFmtId="3" fontId="23" fillId="0" borderId="1" xfId="0" applyNumberFormat="1" applyFont="1" applyFill="1" applyBorder="1" applyAlignment="1" applyProtection="1">
      <alignment horizontal="right" vertical="center"/>
      <protection locked="0"/>
    </xf>
    <xf numFmtId="0" fontId="38" fillId="0" borderId="4" xfId="21" applyFont="1" applyBorder="1" applyAlignment="1">
      <alignment horizontal="center" vertical="center" wrapText="1"/>
    </xf>
    <xf numFmtId="0" fontId="38" fillId="0" borderId="6" xfId="21"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27" fillId="0" borderId="0" xfId="0" applyFont="1" applyAlignment="1">
      <alignment horizontal="left" vertical="center" wrapText="1"/>
    </xf>
    <xf numFmtId="0" fontId="6" fillId="0" borderId="0" xfId="0" applyFont="1" applyAlignment="1">
      <alignment horizontal="center" vertical="center"/>
    </xf>
    <xf numFmtId="0" fontId="13" fillId="0" borderId="0" xfId="0" applyFont="1" applyAlignment="1">
      <alignment horizontal="center" vertical="center"/>
    </xf>
    <xf numFmtId="0" fontId="37" fillId="0" borderId="0" xfId="0" applyFont="1" applyAlignment="1">
      <alignment horizontal="center" vertical="center" wrapText="1"/>
    </xf>
    <xf numFmtId="0" fontId="37" fillId="0" borderId="0" xfId="0" applyFont="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36" fillId="0" borderId="2" xfId="0" applyFont="1" applyBorder="1" applyAlignment="1">
      <alignment horizontal="center" vertical="center" wrapText="1"/>
    </xf>
    <xf numFmtId="0" fontId="36" fillId="0" borderId="3" xfId="0" applyFont="1" applyBorder="1" applyAlignment="1">
      <alignment horizontal="center" vertical="center" wrapText="1"/>
    </xf>
    <xf numFmtId="3" fontId="6" fillId="0" borderId="0" xfId="6" applyNumberFormat="1" applyFont="1" applyFill="1" applyAlignment="1">
      <alignment horizontal="center" vertical="center" wrapText="1"/>
    </xf>
    <xf numFmtId="3" fontId="22" fillId="0" borderId="0" xfId="7" applyNumberFormat="1" applyFont="1" applyFill="1" applyAlignment="1">
      <alignment horizontal="center" vertical="center" wrapText="1"/>
    </xf>
    <xf numFmtId="9" fontId="17" fillId="0" borderId="7" xfId="6" applyNumberFormat="1" applyFont="1" applyFill="1" applyBorder="1" applyAlignment="1">
      <alignment horizontal="center" vertical="center"/>
    </xf>
    <xf numFmtId="3" fontId="5" fillId="0" borderId="1" xfId="6" applyNumberFormat="1" applyFont="1" applyFill="1" applyBorder="1" applyAlignment="1">
      <alignment horizontal="center" vertical="center" wrapText="1"/>
    </xf>
    <xf numFmtId="9" fontId="5" fillId="0" borderId="1" xfId="6" applyNumberFormat="1" applyFont="1" applyFill="1" applyBorder="1" applyAlignment="1">
      <alignment horizontal="center" vertical="center" wrapText="1"/>
    </xf>
    <xf numFmtId="3" fontId="5" fillId="0" borderId="0" xfId="6" applyNumberFormat="1" applyFont="1" applyFill="1" applyAlignment="1">
      <alignment horizontal="center"/>
    </xf>
    <xf numFmtId="3" fontId="5" fillId="0" borderId="2" xfId="6" applyNumberFormat="1" applyFont="1" applyFill="1" applyBorder="1" applyAlignment="1">
      <alignment horizontal="center" vertical="center" wrapText="1"/>
    </xf>
    <xf numFmtId="3" fontId="5" fillId="0" borderId="3" xfId="6" applyNumberFormat="1" applyFont="1" applyFill="1" applyBorder="1" applyAlignment="1">
      <alignment horizontal="center" vertical="center" wrapText="1"/>
    </xf>
    <xf numFmtId="3" fontId="5" fillId="0" borderId="4" xfId="6" applyNumberFormat="1" applyFont="1" applyFill="1" applyBorder="1" applyAlignment="1">
      <alignment horizontal="center" vertical="center" wrapText="1"/>
    </xf>
    <xf numFmtId="3" fontId="5" fillId="0" borderId="5" xfId="6" applyNumberFormat="1" applyFont="1" applyFill="1" applyBorder="1" applyAlignment="1">
      <alignment horizontal="center" vertical="center" wrapText="1"/>
    </xf>
    <xf numFmtId="3" fontId="5" fillId="0" borderId="6" xfId="6" applyNumberFormat="1" applyFont="1" applyFill="1" applyBorder="1" applyAlignment="1">
      <alignment horizontal="center" vertical="center" wrapText="1"/>
    </xf>
    <xf numFmtId="3" fontId="5" fillId="0" borderId="0" xfId="6" applyNumberFormat="1" applyFont="1" applyFill="1" applyAlignment="1">
      <alignment horizontal="left" vertical="center" wrapText="1"/>
    </xf>
    <xf numFmtId="3" fontId="4" fillId="0" borderId="0" xfId="6" applyNumberFormat="1" applyFont="1" applyFill="1" applyAlignment="1">
      <alignment horizontal="center" vertical="center"/>
    </xf>
    <xf numFmtId="3" fontId="5" fillId="0" borderId="0" xfId="6" applyNumberFormat="1" applyFont="1" applyFill="1" applyAlignment="1">
      <alignment horizontal="center" vertical="center" wrapText="1"/>
    </xf>
    <xf numFmtId="0" fontId="47" fillId="0" borderId="0"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center" vertical="center" wrapText="1"/>
      <protection locked="0"/>
    </xf>
    <xf numFmtId="0" fontId="23" fillId="0" borderId="1" xfId="0" applyNumberFormat="1" applyFont="1" applyFill="1" applyBorder="1" applyAlignment="1" applyProtection="1">
      <alignment horizontal="center" vertical="center" wrapText="1"/>
      <protection locked="0"/>
    </xf>
    <xf numFmtId="3" fontId="23" fillId="0" borderId="1" xfId="0" applyNumberFormat="1" applyFont="1" applyFill="1" applyBorder="1" applyAlignment="1" applyProtection="1">
      <alignment horizontal="center" vertical="center"/>
      <protection locked="0"/>
    </xf>
    <xf numFmtId="3" fontId="12" fillId="0" borderId="1" xfId="0" applyNumberFormat="1" applyFont="1" applyFill="1" applyBorder="1" applyAlignment="1" applyProtection="1">
      <alignment horizontal="center" vertical="center"/>
      <protection locked="0"/>
    </xf>
    <xf numFmtId="3" fontId="23" fillId="0" borderId="1" xfId="0" applyNumberFormat="1" applyFont="1" applyFill="1" applyBorder="1" applyAlignment="1" applyProtection="1">
      <alignment horizontal="center" vertical="center" wrapText="1"/>
      <protection locked="0"/>
    </xf>
  </cellXfs>
  <cellStyles count="24">
    <cellStyle name="Comma" xfId="1" builtinId="3"/>
    <cellStyle name="Comma 2" xfId="5"/>
    <cellStyle name="Comma 2 2" xfId="15"/>
    <cellStyle name="Comma 2 2 2" xfId="13"/>
    <cellStyle name="Comma 2 4 2" xfId="19"/>
    <cellStyle name="Comma 4 2 2 4" xfId="10"/>
    <cellStyle name="Comma 4 2 2 4 2" xfId="23"/>
    <cellStyle name="Comma 5" xfId="17"/>
    <cellStyle name="Comma 6" xfId="18"/>
    <cellStyle name="Comma 7" xfId="9"/>
    <cellStyle name="dtchi98c" xfId="2"/>
    <cellStyle name="Normal" xfId="0" builtinId="0"/>
    <cellStyle name="Normal 14" xfId="8"/>
    <cellStyle name="Normal 17" xfId="6"/>
    <cellStyle name="Normal 2" xfId="4"/>
    <cellStyle name="Normal 3" xfId="14"/>
    <cellStyle name="Normal 3 2" xfId="7"/>
    <cellStyle name="Normal 3 2 2" xfId="20"/>
    <cellStyle name="Normal 3 2 3" xfId="11"/>
    <cellStyle name="Normal 5" xfId="12"/>
    <cellStyle name="Normal 7 2 3 2 3 2 2 2 3" xfId="22"/>
    <cellStyle name="Normal 7 3" xfId="3"/>
    <cellStyle name="Normal 7 3 2" xfId="21"/>
    <cellStyle name="Percent" xfId="16"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8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0000FF"/>
      <color rgb="FFFF00FF"/>
      <color rgb="FF006600"/>
      <color rgb="FFFFFFCC"/>
      <color rgb="FFFFCCFF"/>
      <color rgb="FF00FF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opLeftCell="A17" workbookViewId="0">
      <selection activeCell="K33" sqref="K33"/>
    </sheetView>
  </sheetViews>
  <sheetFormatPr defaultColWidth="12" defaultRowHeight="16.5" x14ac:dyDescent="0.25"/>
  <cols>
    <col min="1" max="1" width="56.33203125" style="55" customWidth="1"/>
    <col min="2" max="2" width="12.33203125" style="55" customWidth="1"/>
    <col min="3" max="3" width="10.6640625" style="55" customWidth="1"/>
    <col min="4" max="4" width="9.5" style="55" customWidth="1"/>
    <col min="5" max="5" width="9.1640625" style="55" customWidth="1"/>
    <col min="6" max="9" width="12.33203125" style="55" customWidth="1"/>
    <col min="10" max="10" width="27.5" style="55" bestFit="1" customWidth="1"/>
    <col min="11" max="11" width="21.83203125" style="54" customWidth="1"/>
    <col min="12" max="16384" width="12" style="54"/>
  </cols>
  <sheetData>
    <row r="1" spans="1:11" s="53" customFormat="1" ht="24.95" customHeight="1" x14ac:dyDescent="0.2">
      <c r="A1" s="193" t="s">
        <v>111</v>
      </c>
      <c r="B1" s="193"/>
      <c r="C1" s="193"/>
      <c r="D1" s="193"/>
      <c r="E1" s="193"/>
      <c r="F1" s="193"/>
      <c r="G1" s="193"/>
      <c r="H1" s="193"/>
      <c r="I1" s="193"/>
      <c r="J1" s="193"/>
      <c r="K1" s="53" t="s">
        <v>112</v>
      </c>
    </row>
    <row r="2" spans="1:11" ht="24.75" customHeight="1" x14ac:dyDescent="0.25">
      <c r="A2" s="194" t="s">
        <v>113</v>
      </c>
      <c r="B2" s="194"/>
      <c r="C2" s="194"/>
      <c r="D2" s="194"/>
      <c r="E2" s="194"/>
      <c r="F2" s="194"/>
      <c r="G2" s="194"/>
      <c r="H2" s="194"/>
      <c r="I2" s="194"/>
      <c r="J2" s="194"/>
    </row>
    <row r="3" spans="1:11" ht="21.2" customHeight="1" x14ac:dyDescent="0.25">
      <c r="A3" s="195" t="s">
        <v>114</v>
      </c>
      <c r="B3" s="196"/>
      <c r="C3" s="196"/>
      <c r="D3" s="196"/>
      <c r="E3" s="196"/>
      <c r="F3" s="196"/>
      <c r="G3" s="196"/>
      <c r="H3" s="196"/>
      <c r="I3" s="196"/>
      <c r="J3" s="196"/>
    </row>
    <row r="4" spans="1:11" x14ac:dyDescent="0.25">
      <c r="B4" s="56"/>
      <c r="C4" s="56"/>
      <c r="D4" s="56"/>
      <c r="E4" s="56"/>
      <c r="F4" s="56"/>
      <c r="G4" s="56"/>
      <c r="H4" s="56"/>
      <c r="I4" s="56"/>
      <c r="J4" s="56" t="s">
        <v>115</v>
      </c>
    </row>
    <row r="5" spans="1:11" s="57" customFormat="1" ht="15.75" customHeight="1" x14ac:dyDescent="0.2">
      <c r="A5" s="197" t="s">
        <v>116</v>
      </c>
      <c r="B5" s="199" t="s">
        <v>117</v>
      </c>
      <c r="C5" s="199" t="s">
        <v>118</v>
      </c>
      <c r="D5" s="199" t="s">
        <v>119</v>
      </c>
      <c r="E5" s="199" t="s">
        <v>120</v>
      </c>
      <c r="F5" s="199" t="s">
        <v>121</v>
      </c>
      <c r="G5" s="199" t="s">
        <v>122</v>
      </c>
      <c r="H5" s="188" t="s">
        <v>123</v>
      </c>
      <c r="I5" s="189"/>
      <c r="J5" s="190" t="s">
        <v>10</v>
      </c>
    </row>
    <row r="6" spans="1:11" s="59" customFormat="1" ht="165.75" customHeight="1" x14ac:dyDescent="0.2">
      <c r="A6" s="198"/>
      <c r="B6" s="200"/>
      <c r="C6" s="200"/>
      <c r="D6" s="200"/>
      <c r="E6" s="200"/>
      <c r="F6" s="200"/>
      <c r="G6" s="200"/>
      <c r="H6" s="58" t="s">
        <v>124</v>
      </c>
      <c r="I6" s="58" t="s">
        <v>125</v>
      </c>
      <c r="J6" s="191"/>
    </row>
    <row r="7" spans="1:11" s="57" customFormat="1" ht="15.75" x14ac:dyDescent="0.2">
      <c r="A7" s="60">
        <v>1</v>
      </c>
      <c r="B7" s="60">
        <v>2</v>
      </c>
      <c r="C7" s="60">
        <v>3</v>
      </c>
      <c r="D7" s="60">
        <v>4</v>
      </c>
      <c r="E7" s="60">
        <v>5</v>
      </c>
      <c r="F7" s="60">
        <v>6</v>
      </c>
      <c r="G7" s="60" t="s">
        <v>126</v>
      </c>
      <c r="H7" s="61" t="s">
        <v>127</v>
      </c>
      <c r="I7" s="61" t="s">
        <v>128</v>
      </c>
      <c r="J7" s="61">
        <v>10</v>
      </c>
    </row>
    <row r="8" spans="1:11" s="64" customFormat="1" ht="19.5" customHeight="1" x14ac:dyDescent="0.2">
      <c r="A8" s="62" t="s">
        <v>129</v>
      </c>
      <c r="B8" s="63"/>
      <c r="C8" s="63"/>
      <c r="D8" s="63"/>
      <c r="E8" s="63"/>
      <c r="F8" s="63"/>
      <c r="G8" s="63"/>
      <c r="H8" s="63"/>
      <c r="I8" s="63"/>
      <c r="J8" s="63"/>
    </row>
    <row r="9" spans="1:11" s="67" customFormat="1" ht="19.5" customHeight="1" x14ac:dyDescent="0.2">
      <c r="A9" s="65" t="s">
        <v>130</v>
      </c>
      <c r="B9" s="66">
        <f>B10+B23</f>
        <v>55910</v>
      </c>
      <c r="C9" s="66">
        <f t="shared" ref="C9:I9" si="0">C10+C23</f>
        <v>0</v>
      </c>
      <c r="D9" s="66">
        <f t="shared" si="0"/>
        <v>0</v>
      </c>
      <c r="E9" s="66">
        <f t="shared" si="0"/>
        <v>0</v>
      </c>
      <c r="F9" s="66">
        <f t="shared" si="0"/>
        <v>0</v>
      </c>
      <c r="G9" s="66">
        <f t="shared" si="0"/>
        <v>55910</v>
      </c>
      <c r="H9" s="66">
        <f t="shared" si="0"/>
        <v>0</v>
      </c>
      <c r="I9" s="66">
        <f t="shared" si="0"/>
        <v>0</v>
      </c>
      <c r="J9" s="66"/>
    </row>
    <row r="10" spans="1:11" s="70" customFormat="1" ht="19.5" customHeight="1" x14ac:dyDescent="0.2">
      <c r="A10" s="68" t="s">
        <v>131</v>
      </c>
      <c r="B10" s="69">
        <f>SUM(B11:B22)</f>
        <v>51830</v>
      </c>
      <c r="C10" s="69">
        <f t="shared" ref="C10:I10" si="1">SUM(C11:C22)</f>
        <v>0</v>
      </c>
      <c r="D10" s="69">
        <f t="shared" si="1"/>
        <v>0</v>
      </c>
      <c r="E10" s="69">
        <f t="shared" si="1"/>
        <v>0</v>
      </c>
      <c r="F10" s="69">
        <f t="shared" si="1"/>
        <v>0</v>
      </c>
      <c r="G10" s="69">
        <f t="shared" si="1"/>
        <v>51830</v>
      </c>
      <c r="H10" s="69">
        <f t="shared" si="1"/>
        <v>0</v>
      </c>
      <c r="I10" s="69">
        <f t="shared" si="1"/>
        <v>0</v>
      </c>
      <c r="J10" s="69"/>
    </row>
    <row r="11" spans="1:11" s="74" customFormat="1" ht="31.5" x14ac:dyDescent="0.2">
      <c r="A11" s="71" t="s">
        <v>132</v>
      </c>
      <c r="B11" s="72">
        <v>80</v>
      </c>
      <c r="C11" s="72"/>
      <c r="D11" s="72"/>
      <c r="E11" s="72"/>
      <c r="F11" s="72"/>
      <c r="G11" s="72">
        <f t="shared" ref="G11:G22" si="2">B11-D11-E11-F11</f>
        <v>80</v>
      </c>
      <c r="H11" s="73"/>
      <c r="I11" s="73"/>
      <c r="J11" s="73"/>
    </row>
    <row r="12" spans="1:11" s="74" customFormat="1" ht="19.5" customHeight="1" x14ac:dyDescent="0.2">
      <c r="A12" s="71" t="s">
        <v>133</v>
      </c>
      <c r="B12" s="72">
        <v>6</v>
      </c>
      <c r="C12" s="72"/>
      <c r="D12" s="72"/>
      <c r="E12" s="72"/>
      <c r="F12" s="72"/>
      <c r="G12" s="72">
        <f t="shared" si="2"/>
        <v>6</v>
      </c>
      <c r="H12" s="73"/>
      <c r="I12" s="73"/>
      <c r="J12" s="73"/>
    </row>
    <row r="13" spans="1:11" s="57" customFormat="1" ht="38.25" customHeight="1" x14ac:dyDescent="0.2">
      <c r="A13" s="71" t="s">
        <v>134</v>
      </c>
      <c r="B13" s="72">
        <v>2</v>
      </c>
      <c r="C13" s="72"/>
      <c r="D13" s="72"/>
      <c r="E13" s="72"/>
      <c r="F13" s="72"/>
      <c r="G13" s="72">
        <f t="shared" si="2"/>
        <v>2</v>
      </c>
      <c r="H13" s="75"/>
      <c r="I13" s="76"/>
      <c r="J13" s="76"/>
    </row>
    <row r="14" spans="1:11" s="57" customFormat="1" ht="31.5" x14ac:dyDescent="0.2">
      <c r="A14" s="71" t="s">
        <v>135</v>
      </c>
      <c r="B14" s="72">
        <v>4300</v>
      </c>
      <c r="C14" s="72"/>
      <c r="D14" s="72"/>
      <c r="E14" s="72"/>
      <c r="F14" s="72"/>
      <c r="G14" s="72">
        <f t="shared" si="2"/>
        <v>4300</v>
      </c>
      <c r="H14" s="75"/>
      <c r="I14" s="76"/>
      <c r="J14" s="76"/>
    </row>
    <row r="15" spans="1:11" s="57" customFormat="1" ht="47.25" x14ac:dyDescent="0.2">
      <c r="A15" s="71" t="s">
        <v>136</v>
      </c>
      <c r="B15" s="72">
        <v>80</v>
      </c>
      <c r="C15" s="72"/>
      <c r="D15" s="72"/>
      <c r="E15" s="72"/>
      <c r="F15" s="72"/>
      <c r="G15" s="72">
        <f t="shared" si="2"/>
        <v>80</v>
      </c>
      <c r="H15" s="75"/>
      <c r="I15" s="76"/>
      <c r="J15" s="76"/>
    </row>
    <row r="16" spans="1:11" s="57" customFormat="1" ht="20.25" customHeight="1" x14ac:dyDescent="0.2">
      <c r="A16" s="71" t="s">
        <v>137</v>
      </c>
      <c r="B16" s="72">
        <v>120</v>
      </c>
      <c r="C16" s="72"/>
      <c r="D16" s="72"/>
      <c r="E16" s="72"/>
      <c r="F16" s="72"/>
      <c r="G16" s="72">
        <f t="shared" si="2"/>
        <v>120</v>
      </c>
      <c r="H16" s="75"/>
      <c r="I16" s="76"/>
      <c r="J16" s="76"/>
    </row>
    <row r="17" spans="1:11" s="57" customFormat="1" ht="31.5" x14ac:dyDescent="0.2">
      <c r="A17" s="71" t="s">
        <v>138</v>
      </c>
      <c r="B17" s="72">
        <v>2</v>
      </c>
      <c r="C17" s="72"/>
      <c r="D17" s="72"/>
      <c r="E17" s="72"/>
      <c r="F17" s="72"/>
      <c r="G17" s="72">
        <f t="shared" si="2"/>
        <v>2</v>
      </c>
      <c r="H17" s="75"/>
      <c r="I17" s="76"/>
      <c r="J17" s="76"/>
    </row>
    <row r="18" spans="1:11" s="57" customFormat="1" ht="31.5" x14ac:dyDescent="0.2">
      <c r="A18" s="71" t="s">
        <v>139</v>
      </c>
      <c r="B18" s="72">
        <v>40</v>
      </c>
      <c r="C18" s="72"/>
      <c r="D18" s="72"/>
      <c r="E18" s="72"/>
      <c r="F18" s="72"/>
      <c r="G18" s="72">
        <f t="shared" si="2"/>
        <v>40</v>
      </c>
      <c r="H18" s="75"/>
      <c r="I18" s="76"/>
      <c r="J18" s="76"/>
    </row>
    <row r="19" spans="1:11" s="57" customFormat="1" ht="36" customHeight="1" x14ac:dyDescent="0.2">
      <c r="A19" s="71" t="s">
        <v>140</v>
      </c>
      <c r="B19" s="72">
        <v>500</v>
      </c>
      <c r="C19" s="72"/>
      <c r="D19" s="72"/>
      <c r="E19" s="72"/>
      <c r="F19" s="72"/>
      <c r="G19" s="72">
        <f t="shared" si="2"/>
        <v>500</v>
      </c>
      <c r="H19" s="75"/>
      <c r="I19" s="76"/>
      <c r="J19" s="76"/>
    </row>
    <row r="20" spans="1:11" s="57" customFormat="1" ht="31.5" x14ac:dyDescent="0.2">
      <c r="A20" s="71" t="s">
        <v>141</v>
      </c>
      <c r="B20" s="72">
        <v>42000</v>
      </c>
      <c r="C20" s="72"/>
      <c r="D20" s="72"/>
      <c r="E20" s="72"/>
      <c r="F20" s="72"/>
      <c r="G20" s="72">
        <f t="shared" si="2"/>
        <v>42000</v>
      </c>
      <c r="H20" s="75"/>
      <c r="I20" s="76"/>
      <c r="J20" s="76"/>
    </row>
    <row r="21" spans="1:11" s="57" customFormat="1" ht="19.5" customHeight="1" x14ac:dyDescent="0.2">
      <c r="A21" s="72" t="s">
        <v>142</v>
      </c>
      <c r="B21" s="72">
        <v>800</v>
      </c>
      <c r="C21" s="72"/>
      <c r="D21" s="72"/>
      <c r="E21" s="72"/>
      <c r="F21" s="72"/>
      <c r="G21" s="72">
        <f t="shared" si="2"/>
        <v>800</v>
      </c>
      <c r="H21" s="75"/>
      <c r="I21" s="76"/>
      <c r="J21" s="76"/>
    </row>
    <row r="22" spans="1:11" s="57" customFormat="1" ht="19.5" customHeight="1" x14ac:dyDescent="0.2">
      <c r="A22" s="71" t="s">
        <v>143</v>
      </c>
      <c r="B22" s="72">
        <v>3900</v>
      </c>
      <c r="C22" s="72"/>
      <c r="D22" s="72"/>
      <c r="E22" s="72"/>
      <c r="F22" s="72"/>
      <c r="G22" s="72">
        <f t="shared" si="2"/>
        <v>3900</v>
      </c>
      <c r="H22" s="75"/>
      <c r="I22" s="76"/>
      <c r="J22" s="76"/>
    </row>
    <row r="23" spans="1:11" s="70" customFormat="1" ht="19.5" customHeight="1" x14ac:dyDescent="0.2">
      <c r="A23" s="68" t="s">
        <v>144</v>
      </c>
      <c r="B23" s="69">
        <f t="shared" ref="B23:I23" si="3">SUM(B24:B25)</f>
        <v>4080</v>
      </c>
      <c r="C23" s="69">
        <f t="shared" si="3"/>
        <v>0</v>
      </c>
      <c r="D23" s="69">
        <f t="shared" si="3"/>
        <v>0</v>
      </c>
      <c r="E23" s="69">
        <f t="shared" si="3"/>
        <v>0</v>
      </c>
      <c r="F23" s="69">
        <f t="shared" si="3"/>
        <v>0</v>
      </c>
      <c r="G23" s="69">
        <f t="shared" si="3"/>
        <v>4080</v>
      </c>
      <c r="H23" s="69">
        <f t="shared" si="3"/>
        <v>0</v>
      </c>
      <c r="I23" s="69">
        <f t="shared" si="3"/>
        <v>0</v>
      </c>
      <c r="J23" s="69"/>
    </row>
    <row r="24" spans="1:11" s="57" customFormat="1" ht="19.5" customHeight="1" x14ac:dyDescent="0.2">
      <c r="A24" s="72" t="s">
        <v>145</v>
      </c>
      <c r="B24" s="72">
        <v>180</v>
      </c>
      <c r="C24" s="72"/>
      <c r="D24" s="72"/>
      <c r="E24" s="72"/>
      <c r="F24" s="72"/>
      <c r="G24" s="72">
        <f t="shared" ref="G24:G29" si="4">B24-D24-E24-F24</f>
        <v>180</v>
      </c>
      <c r="H24" s="75"/>
      <c r="I24" s="76"/>
      <c r="J24" s="76"/>
    </row>
    <row r="25" spans="1:11" s="57" customFormat="1" ht="31.5" x14ac:dyDescent="0.2">
      <c r="A25" s="71" t="s">
        <v>146</v>
      </c>
      <c r="B25" s="72">
        <v>3900</v>
      </c>
      <c r="C25" s="72"/>
      <c r="D25" s="72"/>
      <c r="E25" s="72"/>
      <c r="F25" s="72"/>
      <c r="G25" s="72">
        <f t="shared" si="4"/>
        <v>3900</v>
      </c>
      <c r="H25" s="75"/>
      <c r="I25" s="76"/>
      <c r="J25" s="76"/>
    </row>
    <row r="26" spans="1:11" s="67" customFormat="1" ht="22.7" customHeight="1" x14ac:dyDescent="0.2">
      <c r="A26" s="65" t="s">
        <v>147</v>
      </c>
      <c r="B26" s="77">
        <f>SUM(B27:B29)</f>
        <v>37120</v>
      </c>
      <c r="C26" s="77">
        <f t="shared" ref="C26:I26" si="5">SUM(C27:C29)</f>
        <v>0</v>
      </c>
      <c r="D26" s="77">
        <f t="shared" si="5"/>
        <v>0</v>
      </c>
      <c r="E26" s="77">
        <f t="shared" si="5"/>
        <v>0</v>
      </c>
      <c r="F26" s="77">
        <f t="shared" si="5"/>
        <v>0</v>
      </c>
      <c r="G26" s="77">
        <f t="shared" si="5"/>
        <v>37120</v>
      </c>
      <c r="H26" s="77">
        <f t="shared" si="5"/>
        <v>0</v>
      </c>
      <c r="I26" s="77">
        <f t="shared" si="5"/>
        <v>0</v>
      </c>
      <c r="J26" s="66">
        <f>SUM(J27:J28)</f>
        <v>0</v>
      </c>
    </row>
    <row r="27" spans="1:11" s="57" customFormat="1" ht="15.75" x14ac:dyDescent="0.2">
      <c r="A27" s="71" t="s">
        <v>148</v>
      </c>
      <c r="B27" s="76">
        <v>33600</v>
      </c>
      <c r="C27" s="76"/>
      <c r="D27" s="76"/>
      <c r="E27" s="76"/>
      <c r="F27" s="76"/>
      <c r="G27" s="72">
        <f t="shared" si="4"/>
        <v>33600</v>
      </c>
      <c r="H27" s="75"/>
      <c r="I27" s="76"/>
      <c r="J27" s="76"/>
    </row>
    <row r="28" spans="1:11" s="57" customFormat="1" ht="15.75" x14ac:dyDescent="0.2">
      <c r="A28" s="72" t="s">
        <v>149</v>
      </c>
      <c r="B28" s="76">
        <v>400</v>
      </c>
      <c r="C28" s="76"/>
      <c r="D28" s="76"/>
      <c r="E28" s="76"/>
      <c r="F28" s="76"/>
      <c r="G28" s="72">
        <f t="shared" si="4"/>
        <v>400</v>
      </c>
      <c r="H28" s="75"/>
      <c r="I28" s="76"/>
      <c r="J28" s="76"/>
    </row>
    <row r="29" spans="1:11" s="57" customFormat="1" ht="15.75" x14ac:dyDescent="0.2">
      <c r="A29" s="71" t="s">
        <v>150</v>
      </c>
      <c r="B29" s="76">
        <v>3120</v>
      </c>
      <c r="C29" s="76"/>
      <c r="D29" s="76"/>
      <c r="E29" s="76"/>
      <c r="F29" s="76"/>
      <c r="G29" s="72">
        <f t="shared" si="4"/>
        <v>3120</v>
      </c>
      <c r="H29" s="75"/>
      <c r="I29" s="76"/>
      <c r="J29" s="76"/>
    </row>
    <row r="30" spans="1:11" s="67" customFormat="1" ht="15.75" x14ac:dyDescent="0.2">
      <c r="A30" s="65" t="s">
        <v>151</v>
      </c>
      <c r="B30" s="66">
        <f t="shared" ref="B30:I30" si="6">B9-B26</f>
        <v>18790</v>
      </c>
      <c r="C30" s="66">
        <f t="shared" si="6"/>
        <v>0</v>
      </c>
      <c r="D30" s="66">
        <f t="shared" si="6"/>
        <v>0</v>
      </c>
      <c r="E30" s="66">
        <f t="shared" si="6"/>
        <v>0</v>
      </c>
      <c r="F30" s="66">
        <f t="shared" si="6"/>
        <v>0</v>
      </c>
      <c r="G30" s="66">
        <f t="shared" si="6"/>
        <v>18790</v>
      </c>
      <c r="H30" s="66">
        <f t="shared" si="6"/>
        <v>0</v>
      </c>
      <c r="I30" s="66">
        <f t="shared" si="6"/>
        <v>0</v>
      </c>
      <c r="J30" s="66"/>
    </row>
    <row r="31" spans="1:11" s="130" customFormat="1" ht="15.75" x14ac:dyDescent="0.2">
      <c r="A31" s="129" t="s">
        <v>152</v>
      </c>
      <c r="B31" s="126">
        <f t="shared" ref="B31:I31" si="7">B32+B67</f>
        <v>47904</v>
      </c>
      <c r="C31" s="126">
        <f t="shared" si="7"/>
        <v>4551</v>
      </c>
      <c r="D31" s="126">
        <f t="shared" si="7"/>
        <v>248</v>
      </c>
      <c r="E31" s="126">
        <f t="shared" si="7"/>
        <v>0</v>
      </c>
      <c r="F31" s="126">
        <f t="shared" si="7"/>
        <v>0</v>
      </c>
      <c r="G31" s="126">
        <f t="shared" si="7"/>
        <v>47656</v>
      </c>
      <c r="H31" s="126">
        <f t="shared" si="7"/>
        <v>43105</v>
      </c>
      <c r="I31" s="126">
        <f t="shared" si="7"/>
        <v>4551</v>
      </c>
      <c r="J31" s="126"/>
      <c r="K31" s="131" t="e">
        <f>G31*1000000-#REF!</f>
        <v>#REF!</v>
      </c>
    </row>
    <row r="32" spans="1:11" s="67" customFormat="1" ht="31.5" x14ac:dyDescent="0.2">
      <c r="A32" s="78" t="s">
        <v>153</v>
      </c>
      <c r="B32" s="79">
        <f>B33+B45</f>
        <v>47899</v>
      </c>
      <c r="C32" s="79">
        <f t="shared" ref="C32:I32" si="8">C33+C45</f>
        <v>4551</v>
      </c>
      <c r="D32" s="79">
        <f t="shared" si="8"/>
        <v>248</v>
      </c>
      <c r="E32" s="79">
        <f t="shared" si="8"/>
        <v>0</v>
      </c>
      <c r="F32" s="79">
        <f t="shared" si="8"/>
        <v>0</v>
      </c>
      <c r="G32" s="79">
        <f t="shared" si="8"/>
        <v>47651</v>
      </c>
      <c r="H32" s="79">
        <f t="shared" si="8"/>
        <v>43100</v>
      </c>
      <c r="I32" s="79">
        <f t="shared" si="8"/>
        <v>4551</v>
      </c>
      <c r="J32" s="79"/>
      <c r="K32" s="67">
        <v>47656</v>
      </c>
    </row>
    <row r="33" spans="1:12" s="82" customFormat="1" ht="21.2" customHeight="1" x14ac:dyDescent="0.2">
      <c r="A33" s="80" t="s">
        <v>154</v>
      </c>
      <c r="B33" s="81">
        <f>B35</f>
        <v>13142</v>
      </c>
      <c r="C33" s="81">
        <f t="shared" ref="C33:I33" si="9">C35</f>
        <v>3768</v>
      </c>
      <c r="D33" s="81">
        <f t="shared" si="9"/>
        <v>211</v>
      </c>
      <c r="E33" s="81">
        <f t="shared" si="9"/>
        <v>0</v>
      </c>
      <c r="F33" s="81">
        <f t="shared" si="9"/>
        <v>0</v>
      </c>
      <c r="G33" s="81">
        <f t="shared" si="9"/>
        <v>12931</v>
      </c>
      <c r="H33" s="81">
        <f t="shared" si="9"/>
        <v>9163</v>
      </c>
      <c r="I33" s="81">
        <f t="shared" si="9"/>
        <v>3768</v>
      </c>
      <c r="J33" s="81"/>
      <c r="K33" s="82" t="e">
        <f>-K31/1000000</f>
        <v>#REF!</v>
      </c>
      <c r="L33" s="83"/>
    </row>
    <row r="34" spans="1:12" s="70" customFormat="1" ht="21.2" customHeight="1" x14ac:dyDescent="0.2">
      <c r="A34" s="84" t="s">
        <v>155</v>
      </c>
      <c r="B34" s="85">
        <v>55</v>
      </c>
      <c r="C34" s="73"/>
      <c r="D34" s="73"/>
      <c r="E34" s="73"/>
      <c r="F34" s="73"/>
      <c r="G34" s="73"/>
      <c r="H34" s="73"/>
      <c r="I34" s="73"/>
      <c r="J34" s="73"/>
      <c r="K34" s="70" t="e">
        <f>K32+K33</f>
        <v>#REF!</v>
      </c>
    </row>
    <row r="35" spans="1:12" s="70" customFormat="1" ht="21.2" customHeight="1" x14ac:dyDescent="0.2">
      <c r="A35" s="84" t="s">
        <v>156</v>
      </c>
      <c r="B35" s="73">
        <f>B36+B41</f>
        <v>13142</v>
      </c>
      <c r="C35" s="73">
        <f t="shared" ref="C35:I35" si="10">C36+C41</f>
        <v>3768</v>
      </c>
      <c r="D35" s="73">
        <f t="shared" si="10"/>
        <v>211</v>
      </c>
      <c r="E35" s="73">
        <f t="shared" si="10"/>
        <v>0</v>
      </c>
      <c r="F35" s="73">
        <f t="shared" si="10"/>
        <v>0</v>
      </c>
      <c r="G35" s="73">
        <f t="shared" si="10"/>
        <v>12931</v>
      </c>
      <c r="H35" s="73">
        <f t="shared" si="10"/>
        <v>9163</v>
      </c>
      <c r="I35" s="73">
        <f t="shared" si="10"/>
        <v>3768</v>
      </c>
      <c r="J35" s="73"/>
    </row>
    <row r="36" spans="1:12" s="89" customFormat="1" ht="21.2" customHeight="1" x14ac:dyDescent="0.2">
      <c r="A36" s="86" t="s">
        <v>157</v>
      </c>
      <c r="B36" s="87">
        <f>SUM(B37:B40)</f>
        <v>10829</v>
      </c>
      <c r="C36" s="87">
        <f t="shared" ref="C36:I36" si="11">SUM(C37:C40)</f>
        <v>3193</v>
      </c>
      <c r="D36" s="87">
        <f t="shared" si="11"/>
        <v>171</v>
      </c>
      <c r="E36" s="87">
        <f t="shared" si="11"/>
        <v>0</v>
      </c>
      <c r="F36" s="87">
        <f t="shared" si="11"/>
        <v>0</v>
      </c>
      <c r="G36" s="87">
        <f>SUM(G37:G40)</f>
        <v>10658</v>
      </c>
      <c r="H36" s="87">
        <f t="shared" si="11"/>
        <v>7465</v>
      </c>
      <c r="I36" s="87">
        <f t="shared" si="11"/>
        <v>3193</v>
      </c>
      <c r="J36" s="87"/>
      <c r="K36" s="88"/>
      <c r="L36" s="88"/>
    </row>
    <row r="37" spans="1:12" s="57" customFormat="1" ht="21.2" customHeight="1" x14ac:dyDescent="0.2">
      <c r="A37" s="90" t="s">
        <v>158</v>
      </c>
      <c r="B37" s="76">
        <f>8790</f>
        <v>8790</v>
      </c>
      <c r="C37" s="76">
        <v>3193</v>
      </c>
      <c r="D37" s="76"/>
      <c r="E37" s="76"/>
      <c r="F37" s="76"/>
      <c r="G37" s="91">
        <f>B37-D37-E37-F37</f>
        <v>8790</v>
      </c>
      <c r="H37" s="91">
        <f>G37-I37</f>
        <v>5597</v>
      </c>
      <c r="I37" s="91">
        <f>C37-E37-F37</f>
        <v>3193</v>
      </c>
      <c r="J37" s="76"/>
      <c r="K37" s="92"/>
      <c r="L37" s="92"/>
    </row>
    <row r="38" spans="1:12" s="57" customFormat="1" ht="21.2" customHeight="1" x14ac:dyDescent="0.2">
      <c r="A38" s="90" t="s">
        <v>159</v>
      </c>
      <c r="B38" s="76">
        <v>1630</v>
      </c>
      <c r="C38" s="76"/>
      <c r="D38" s="76">
        <f>ROUND(1630*10%,-0.1)</f>
        <v>163</v>
      </c>
      <c r="E38" s="76"/>
      <c r="F38" s="76"/>
      <c r="G38" s="91">
        <f>B38-D38-E38-F38</f>
        <v>1467</v>
      </c>
      <c r="H38" s="91">
        <f>G38-I38</f>
        <v>1467</v>
      </c>
      <c r="I38" s="91">
        <f>C38-E38-F38</f>
        <v>0</v>
      </c>
      <c r="J38" s="76"/>
      <c r="K38" s="92"/>
      <c r="L38" s="92"/>
    </row>
    <row r="39" spans="1:12" s="57" customFormat="1" ht="21.2" customHeight="1" x14ac:dyDescent="0.2">
      <c r="A39" s="90" t="s">
        <v>160</v>
      </c>
      <c r="B39" s="76">
        <v>80</v>
      </c>
      <c r="C39" s="76"/>
      <c r="D39" s="76">
        <f>ROUND(80*10%,-0.1)</f>
        <v>8</v>
      </c>
      <c r="E39" s="76"/>
      <c r="F39" s="76"/>
      <c r="G39" s="91">
        <f>B39-D39-E39-F39</f>
        <v>72</v>
      </c>
      <c r="H39" s="91">
        <f>G39-I39</f>
        <v>72</v>
      </c>
      <c r="I39" s="91">
        <f>C39-E39-F39</f>
        <v>0</v>
      </c>
      <c r="J39" s="76"/>
      <c r="K39" s="92"/>
      <c r="L39" s="92"/>
    </row>
    <row r="40" spans="1:12" s="57" customFormat="1" ht="47.25" x14ac:dyDescent="0.2">
      <c r="A40" s="93" t="s">
        <v>161</v>
      </c>
      <c r="B40" s="76">
        <f>329</f>
        <v>329</v>
      </c>
      <c r="C40" s="76"/>
      <c r="D40" s="76"/>
      <c r="E40" s="76"/>
      <c r="F40" s="76"/>
      <c r="G40" s="91">
        <f>B40-D40-E40-F40</f>
        <v>329</v>
      </c>
      <c r="H40" s="91">
        <f>G40-I40</f>
        <v>329</v>
      </c>
      <c r="I40" s="91">
        <f>C40-E40-F40</f>
        <v>0</v>
      </c>
      <c r="J40" s="76"/>
      <c r="K40" s="92"/>
      <c r="L40" s="92"/>
    </row>
    <row r="41" spans="1:12" s="89" customFormat="1" ht="15.75" x14ac:dyDescent="0.2">
      <c r="A41" s="86" t="s">
        <v>162</v>
      </c>
      <c r="B41" s="87">
        <f>SUM(B42:B44)</f>
        <v>2313</v>
      </c>
      <c r="C41" s="87">
        <f t="shared" ref="C41:I41" si="12">SUM(C42:C44)</f>
        <v>575</v>
      </c>
      <c r="D41" s="87">
        <f t="shared" si="12"/>
        <v>40</v>
      </c>
      <c r="E41" s="87">
        <f t="shared" si="12"/>
        <v>0</v>
      </c>
      <c r="F41" s="87">
        <f t="shared" si="12"/>
        <v>0</v>
      </c>
      <c r="G41" s="87">
        <f t="shared" si="12"/>
        <v>2273</v>
      </c>
      <c r="H41" s="87">
        <f t="shared" si="12"/>
        <v>1698</v>
      </c>
      <c r="I41" s="87">
        <f t="shared" si="12"/>
        <v>575</v>
      </c>
      <c r="J41" s="94"/>
      <c r="L41" s="88"/>
    </row>
    <row r="42" spans="1:12" s="57" customFormat="1" ht="35.450000000000003" customHeight="1" x14ac:dyDescent="0.2">
      <c r="A42" s="93" t="s">
        <v>163</v>
      </c>
      <c r="B42" s="76">
        <v>575</v>
      </c>
      <c r="C42" s="76">
        <v>575</v>
      </c>
      <c r="D42" s="76"/>
      <c r="E42" s="76"/>
      <c r="F42" s="76"/>
      <c r="G42" s="91">
        <f>B42-D42-E42-F42</f>
        <v>575</v>
      </c>
      <c r="H42" s="91">
        <f>G42-I42</f>
        <v>0</v>
      </c>
      <c r="I42" s="91">
        <f>C42-E42-F42</f>
        <v>575</v>
      </c>
      <c r="J42" s="76"/>
      <c r="K42" s="92"/>
      <c r="L42" s="92"/>
    </row>
    <row r="43" spans="1:12" s="57" customFormat="1" ht="21.2" customHeight="1" x14ac:dyDescent="0.2">
      <c r="A43" s="90" t="s">
        <v>164</v>
      </c>
      <c r="B43" s="76">
        <v>105</v>
      </c>
      <c r="C43" s="76"/>
      <c r="D43" s="76"/>
      <c r="E43" s="76"/>
      <c r="F43" s="76"/>
      <c r="G43" s="91">
        <f>B43-D43-E43-F43</f>
        <v>105</v>
      </c>
      <c r="H43" s="91">
        <f>G43-I43</f>
        <v>105</v>
      </c>
      <c r="I43" s="91">
        <f>C43-E43-F43</f>
        <v>0</v>
      </c>
      <c r="J43" s="76"/>
      <c r="K43" s="92"/>
      <c r="L43" s="92"/>
    </row>
    <row r="44" spans="1:12" s="57" customFormat="1" ht="15.75" x14ac:dyDescent="0.2">
      <c r="A44" s="90" t="s">
        <v>165</v>
      </c>
      <c r="B44" s="76">
        <v>1633</v>
      </c>
      <c r="C44" s="76"/>
      <c r="D44" s="76">
        <f>ROUND(399*10%,-0.1)</f>
        <v>40</v>
      </c>
      <c r="E44" s="76"/>
      <c r="F44" s="76"/>
      <c r="G44" s="91">
        <f>B44-D44-E44-F44</f>
        <v>1593</v>
      </c>
      <c r="H44" s="91">
        <f>G44-I44</f>
        <v>1593</v>
      </c>
      <c r="I44" s="91">
        <f>C44-E44-F44</f>
        <v>0</v>
      </c>
      <c r="J44" s="95" t="s">
        <v>166</v>
      </c>
      <c r="K44" s="92"/>
      <c r="L44" s="92"/>
    </row>
    <row r="45" spans="1:12" s="82" customFormat="1" ht="21.2" customHeight="1" x14ac:dyDescent="0.2">
      <c r="A45" s="80" t="s">
        <v>167</v>
      </c>
      <c r="B45" s="81">
        <f>B46+B59</f>
        <v>34757</v>
      </c>
      <c r="C45" s="81">
        <f t="shared" ref="C45:I45" si="13">C46+C59</f>
        <v>783</v>
      </c>
      <c r="D45" s="81">
        <f t="shared" si="13"/>
        <v>37</v>
      </c>
      <c r="E45" s="81">
        <f t="shared" si="13"/>
        <v>0</v>
      </c>
      <c r="F45" s="81">
        <f t="shared" si="13"/>
        <v>0</v>
      </c>
      <c r="G45" s="81">
        <f t="shared" si="13"/>
        <v>34720</v>
      </c>
      <c r="H45" s="81">
        <f t="shared" si="13"/>
        <v>33937</v>
      </c>
      <c r="I45" s="81">
        <f t="shared" si="13"/>
        <v>783</v>
      </c>
      <c r="J45" s="81"/>
    </row>
    <row r="46" spans="1:12" s="98" customFormat="1" ht="21.2" customHeight="1" x14ac:dyDescent="0.2">
      <c r="A46" s="96" t="s">
        <v>168</v>
      </c>
      <c r="B46" s="97">
        <f>B48+B56</f>
        <v>18312</v>
      </c>
      <c r="C46" s="97">
        <f t="shared" ref="C46:I46" si="14">C48+C56</f>
        <v>783</v>
      </c>
      <c r="D46" s="97">
        <f t="shared" si="14"/>
        <v>37</v>
      </c>
      <c r="E46" s="97">
        <f t="shared" si="14"/>
        <v>0</v>
      </c>
      <c r="F46" s="97">
        <f t="shared" si="14"/>
        <v>0</v>
      </c>
      <c r="G46" s="97">
        <f t="shared" si="14"/>
        <v>18275</v>
      </c>
      <c r="H46" s="97">
        <f t="shared" si="14"/>
        <v>17492</v>
      </c>
      <c r="I46" s="97">
        <f t="shared" si="14"/>
        <v>783</v>
      </c>
      <c r="J46" s="97"/>
    </row>
    <row r="47" spans="1:12" s="70" customFormat="1" ht="21.2" customHeight="1" x14ac:dyDescent="0.2">
      <c r="A47" s="84" t="s">
        <v>169</v>
      </c>
      <c r="B47" s="73">
        <v>15</v>
      </c>
      <c r="C47" s="73"/>
      <c r="D47" s="73"/>
      <c r="E47" s="73"/>
      <c r="F47" s="73"/>
      <c r="G47" s="73"/>
      <c r="H47" s="73"/>
      <c r="I47" s="73"/>
      <c r="J47" s="73"/>
    </row>
    <row r="48" spans="1:12" s="74" customFormat="1" ht="39.200000000000003" customHeight="1" x14ac:dyDescent="0.2">
      <c r="A48" s="99" t="s">
        <v>170</v>
      </c>
      <c r="B48" s="73">
        <f>B49+B53</f>
        <v>3112</v>
      </c>
      <c r="C48" s="73">
        <f t="shared" ref="C48:I48" si="15">C49+C53</f>
        <v>783</v>
      </c>
      <c r="D48" s="73">
        <f t="shared" si="15"/>
        <v>37</v>
      </c>
      <c r="E48" s="73">
        <f t="shared" si="15"/>
        <v>0</v>
      </c>
      <c r="F48" s="73">
        <f t="shared" si="15"/>
        <v>0</v>
      </c>
      <c r="G48" s="73">
        <f t="shared" si="15"/>
        <v>3075</v>
      </c>
      <c r="H48" s="73">
        <f t="shared" si="15"/>
        <v>2292</v>
      </c>
      <c r="I48" s="73">
        <f t="shared" si="15"/>
        <v>783</v>
      </c>
      <c r="J48" s="73"/>
      <c r="K48" s="100"/>
    </row>
    <row r="49" spans="1:10" s="103" customFormat="1" ht="19.5" customHeight="1" x14ac:dyDescent="0.2">
      <c r="A49" s="101" t="s">
        <v>171</v>
      </c>
      <c r="B49" s="102">
        <f>SUM(B50:B52)</f>
        <v>2220</v>
      </c>
      <c r="C49" s="102">
        <f t="shared" ref="C49:I49" si="16">SUM(C50:C52)</f>
        <v>641</v>
      </c>
      <c r="D49" s="102">
        <f t="shared" si="16"/>
        <v>37</v>
      </c>
      <c r="E49" s="102">
        <f t="shared" si="16"/>
        <v>0</v>
      </c>
      <c r="F49" s="102">
        <f t="shared" si="16"/>
        <v>0</v>
      </c>
      <c r="G49" s="102">
        <f t="shared" si="16"/>
        <v>2183</v>
      </c>
      <c r="H49" s="102">
        <f t="shared" si="16"/>
        <v>1542</v>
      </c>
      <c r="I49" s="102">
        <f t="shared" si="16"/>
        <v>641</v>
      </c>
      <c r="J49" s="102"/>
    </row>
    <row r="50" spans="1:10" s="57" customFormat="1" ht="19.5" customHeight="1" x14ac:dyDescent="0.2">
      <c r="A50" s="90" t="s">
        <v>172</v>
      </c>
      <c r="B50" s="76">
        <v>1764</v>
      </c>
      <c r="C50" s="76">
        <v>641</v>
      </c>
      <c r="D50" s="76"/>
      <c r="E50" s="76"/>
      <c r="F50" s="76"/>
      <c r="G50" s="91">
        <f>B50-D50-E50-F50</f>
        <v>1764</v>
      </c>
      <c r="H50" s="91">
        <f>G50-I50</f>
        <v>1123</v>
      </c>
      <c r="I50" s="91">
        <f>C50-E50-F50</f>
        <v>641</v>
      </c>
      <c r="J50" s="76"/>
    </row>
    <row r="51" spans="1:10" s="57" customFormat="1" ht="19.5" customHeight="1" x14ac:dyDescent="0.2">
      <c r="A51" s="90" t="s">
        <v>173</v>
      </c>
      <c r="B51" s="76">
        <v>373</v>
      </c>
      <c r="C51" s="76"/>
      <c r="D51" s="76">
        <f>ROUND(373*10%,-0.1)</f>
        <v>37</v>
      </c>
      <c r="E51" s="76"/>
      <c r="F51" s="76"/>
      <c r="G51" s="91">
        <f>B51-D51-E51-F51</f>
        <v>336</v>
      </c>
      <c r="H51" s="91">
        <f>G51-I51</f>
        <v>336</v>
      </c>
      <c r="I51" s="91">
        <f>C51-E51-F51</f>
        <v>0</v>
      </c>
      <c r="J51" s="76"/>
    </row>
    <row r="52" spans="1:10" s="57" customFormat="1" ht="31.5" x14ac:dyDescent="0.2">
      <c r="A52" s="93" t="s">
        <v>174</v>
      </c>
      <c r="B52" s="76">
        <v>83</v>
      </c>
      <c r="C52" s="76"/>
      <c r="D52" s="76"/>
      <c r="E52" s="76"/>
      <c r="F52" s="76"/>
      <c r="G52" s="91">
        <f>B52-D52-E52-F52</f>
        <v>83</v>
      </c>
      <c r="H52" s="91">
        <f>G52-I52</f>
        <v>83</v>
      </c>
      <c r="I52" s="91">
        <f>C52-E52-F52</f>
        <v>0</v>
      </c>
      <c r="J52" s="76"/>
    </row>
    <row r="53" spans="1:10" s="103" customFormat="1" ht="15.75" x14ac:dyDescent="0.2">
      <c r="A53" s="101" t="s">
        <v>175</v>
      </c>
      <c r="B53" s="102">
        <f>SUM(B54:B55)</f>
        <v>892</v>
      </c>
      <c r="C53" s="102">
        <f t="shared" ref="C53:I53" si="17">SUM(C54:C55)</f>
        <v>142</v>
      </c>
      <c r="D53" s="102">
        <f t="shared" si="17"/>
        <v>0</v>
      </c>
      <c r="E53" s="102">
        <f t="shared" si="17"/>
        <v>0</v>
      </c>
      <c r="F53" s="102">
        <f t="shared" si="17"/>
        <v>0</v>
      </c>
      <c r="G53" s="102">
        <f t="shared" si="17"/>
        <v>892</v>
      </c>
      <c r="H53" s="102">
        <f t="shared" si="17"/>
        <v>750</v>
      </c>
      <c r="I53" s="102">
        <f t="shared" si="17"/>
        <v>142</v>
      </c>
      <c r="J53" s="104"/>
    </row>
    <row r="54" spans="1:10" s="57" customFormat="1" ht="31.5" x14ac:dyDescent="0.2">
      <c r="A54" s="93" t="s">
        <v>176</v>
      </c>
      <c r="B54" s="76">
        <v>142</v>
      </c>
      <c r="C54" s="76">
        <v>142</v>
      </c>
      <c r="D54" s="76"/>
      <c r="E54" s="76"/>
      <c r="F54" s="76"/>
      <c r="G54" s="91">
        <f>B54-D54-E54-F54</f>
        <v>142</v>
      </c>
      <c r="H54" s="91">
        <f>G54-I54</f>
        <v>0</v>
      </c>
      <c r="I54" s="91">
        <f>C54-E54-F54</f>
        <v>142</v>
      </c>
      <c r="J54" s="105"/>
    </row>
    <row r="55" spans="1:10" s="57" customFormat="1" ht="15.75" x14ac:dyDescent="0.2">
      <c r="A55" s="90" t="s">
        <v>177</v>
      </c>
      <c r="B55" s="76">
        <v>750</v>
      </c>
      <c r="C55" s="76"/>
      <c r="D55" s="76"/>
      <c r="E55" s="76"/>
      <c r="F55" s="76"/>
      <c r="G55" s="91">
        <f>B55-D55-E55-F55</f>
        <v>750</v>
      </c>
      <c r="H55" s="91">
        <f>G55-I55</f>
        <v>750</v>
      </c>
      <c r="I55" s="91">
        <f>C55-E55-F55</f>
        <v>0</v>
      </c>
      <c r="J55" s="105" t="s">
        <v>178</v>
      </c>
    </row>
    <row r="56" spans="1:10" s="74" customFormat="1" ht="37.5" customHeight="1" x14ac:dyDescent="0.2">
      <c r="A56" s="99" t="s">
        <v>179</v>
      </c>
      <c r="B56" s="73">
        <f>B57+B58</f>
        <v>15200</v>
      </c>
      <c r="C56" s="73">
        <f t="shared" ref="C56:I56" si="18">C57+C58</f>
        <v>0</v>
      </c>
      <c r="D56" s="73">
        <f t="shared" si="18"/>
        <v>0</v>
      </c>
      <c r="E56" s="73">
        <f t="shared" si="18"/>
        <v>0</v>
      </c>
      <c r="F56" s="73">
        <f t="shared" si="18"/>
        <v>0</v>
      </c>
      <c r="G56" s="73">
        <f t="shared" si="18"/>
        <v>15200</v>
      </c>
      <c r="H56" s="73">
        <f t="shared" si="18"/>
        <v>15200</v>
      </c>
      <c r="I56" s="73">
        <f t="shared" si="18"/>
        <v>0</v>
      </c>
      <c r="J56" s="73"/>
    </row>
    <row r="57" spans="1:10" s="57" customFormat="1" ht="31.5" x14ac:dyDescent="0.2">
      <c r="A57" s="93" t="s">
        <v>180</v>
      </c>
      <c r="B57" s="76">
        <v>15200</v>
      </c>
      <c r="C57" s="76"/>
      <c r="D57" s="76"/>
      <c r="E57" s="76"/>
      <c r="F57" s="76"/>
      <c r="G57" s="91">
        <f>B57-D57-E57-F57</f>
        <v>15200</v>
      </c>
      <c r="H57" s="91">
        <f>G57-I57</f>
        <v>15200</v>
      </c>
      <c r="I57" s="91">
        <f>C57-E57-F57</f>
        <v>0</v>
      </c>
      <c r="J57" s="105" t="s">
        <v>178</v>
      </c>
    </row>
    <row r="58" spans="1:10" s="57" customFormat="1" ht="19.5" hidden="1" customHeight="1" x14ac:dyDescent="0.2">
      <c r="A58" s="90" t="s">
        <v>181</v>
      </c>
      <c r="B58" s="76"/>
      <c r="C58" s="76"/>
      <c r="D58" s="76"/>
      <c r="E58" s="76"/>
      <c r="F58" s="76"/>
      <c r="G58" s="91">
        <f>B58-D58-E58-F58</f>
        <v>0</v>
      </c>
      <c r="H58" s="91">
        <f>G58-I58</f>
        <v>0</v>
      </c>
      <c r="I58" s="91">
        <f>C58</f>
        <v>0</v>
      </c>
      <c r="J58" s="76"/>
    </row>
    <row r="59" spans="1:10" s="106" customFormat="1" ht="20.25" customHeight="1" x14ac:dyDescent="0.2">
      <c r="A59" s="96" t="s">
        <v>182</v>
      </c>
      <c r="B59" s="97">
        <f>B60</f>
        <v>16445</v>
      </c>
      <c r="C59" s="97">
        <f t="shared" ref="C59:I59" si="19">C60</f>
        <v>0</v>
      </c>
      <c r="D59" s="97">
        <f t="shared" si="19"/>
        <v>0</v>
      </c>
      <c r="E59" s="97">
        <f t="shared" si="19"/>
        <v>0</v>
      </c>
      <c r="F59" s="97">
        <f t="shared" si="19"/>
        <v>0</v>
      </c>
      <c r="G59" s="97">
        <f t="shared" si="19"/>
        <v>16445</v>
      </c>
      <c r="H59" s="97">
        <f t="shared" si="19"/>
        <v>16445</v>
      </c>
      <c r="I59" s="97">
        <f t="shared" si="19"/>
        <v>0</v>
      </c>
      <c r="J59" s="97"/>
    </row>
    <row r="60" spans="1:10" s="74" customFormat="1" ht="20.25" customHeight="1" x14ac:dyDescent="0.2">
      <c r="A60" s="99" t="s">
        <v>183</v>
      </c>
      <c r="B60" s="107">
        <f>B61+B64</f>
        <v>16445</v>
      </c>
      <c r="C60" s="107">
        <f t="shared" ref="C60:I60" si="20">C61+C64</f>
        <v>0</v>
      </c>
      <c r="D60" s="107">
        <f t="shared" si="20"/>
        <v>0</v>
      </c>
      <c r="E60" s="107">
        <f t="shared" si="20"/>
        <v>0</v>
      </c>
      <c r="F60" s="107">
        <f t="shared" si="20"/>
        <v>0</v>
      </c>
      <c r="G60" s="107">
        <f t="shared" si="20"/>
        <v>16445</v>
      </c>
      <c r="H60" s="107">
        <f t="shared" si="20"/>
        <v>16445</v>
      </c>
      <c r="I60" s="107">
        <f t="shared" si="20"/>
        <v>0</v>
      </c>
      <c r="J60" s="107"/>
    </row>
    <row r="61" spans="1:10" s="70" customFormat="1" ht="31.5" x14ac:dyDescent="0.2">
      <c r="A61" s="108" t="s">
        <v>184</v>
      </c>
      <c r="B61" s="109">
        <f>SUM(B62:B63)</f>
        <v>5690</v>
      </c>
      <c r="C61" s="109">
        <f t="shared" ref="C61:I61" si="21">SUM(C62:C63)</f>
        <v>0</v>
      </c>
      <c r="D61" s="109">
        <f t="shared" si="21"/>
        <v>0</v>
      </c>
      <c r="E61" s="109">
        <f t="shared" si="21"/>
        <v>0</v>
      </c>
      <c r="F61" s="109">
        <f t="shared" si="21"/>
        <v>0</v>
      </c>
      <c r="G61" s="109">
        <f t="shared" si="21"/>
        <v>5690</v>
      </c>
      <c r="H61" s="109">
        <f t="shared" si="21"/>
        <v>5690</v>
      </c>
      <c r="I61" s="109">
        <f t="shared" si="21"/>
        <v>0</v>
      </c>
      <c r="J61" s="109"/>
    </row>
    <row r="62" spans="1:10" s="57" customFormat="1" ht="15.75" x14ac:dyDescent="0.2">
      <c r="A62" s="110" t="s">
        <v>185</v>
      </c>
      <c r="B62" s="76">
        <v>5690</v>
      </c>
      <c r="C62" s="76"/>
      <c r="D62" s="76"/>
      <c r="E62" s="76"/>
      <c r="F62" s="76"/>
      <c r="G62" s="91">
        <f>B62-D62-E62-F62</f>
        <v>5690</v>
      </c>
      <c r="H62" s="91">
        <f>G62-I62</f>
        <v>5690</v>
      </c>
      <c r="I62" s="91">
        <f>C62-E62-F62</f>
        <v>0</v>
      </c>
      <c r="J62" s="105" t="s">
        <v>178</v>
      </c>
    </row>
    <row r="63" spans="1:10" s="57" customFormat="1" ht="15.75" hidden="1" x14ac:dyDescent="0.2">
      <c r="A63" s="110"/>
      <c r="B63" s="76"/>
      <c r="C63" s="76"/>
      <c r="D63" s="76"/>
      <c r="E63" s="76"/>
      <c r="F63" s="76"/>
      <c r="G63" s="91">
        <f>B63-D63-E63-F63</f>
        <v>0</v>
      </c>
      <c r="H63" s="91">
        <f>G63-I63</f>
        <v>0</v>
      </c>
      <c r="I63" s="91">
        <f>C63</f>
        <v>0</v>
      </c>
      <c r="J63" s="76"/>
    </row>
    <row r="64" spans="1:10" s="113" customFormat="1" ht="36.75" customHeight="1" x14ac:dyDescent="0.2">
      <c r="A64" s="111" t="s">
        <v>186</v>
      </c>
      <c r="B64" s="69">
        <f>SUM(B65:B66)</f>
        <v>10755</v>
      </c>
      <c r="C64" s="69">
        <f t="shared" ref="C64:I64" si="22">SUM(C65:C66)</f>
        <v>0</v>
      </c>
      <c r="D64" s="69">
        <f t="shared" si="22"/>
        <v>0</v>
      </c>
      <c r="E64" s="69">
        <f t="shared" si="22"/>
        <v>0</v>
      </c>
      <c r="F64" s="69">
        <f t="shared" si="22"/>
        <v>0</v>
      </c>
      <c r="G64" s="69">
        <f t="shared" si="22"/>
        <v>10755</v>
      </c>
      <c r="H64" s="69">
        <f t="shared" si="22"/>
        <v>10755</v>
      </c>
      <c r="I64" s="69">
        <f t="shared" si="22"/>
        <v>0</v>
      </c>
      <c r="J64" s="112"/>
    </row>
    <row r="65" spans="1:10" s="57" customFormat="1" ht="15.75" x14ac:dyDescent="0.2">
      <c r="A65" s="90" t="s">
        <v>187</v>
      </c>
      <c r="B65" s="76">
        <v>3200</v>
      </c>
      <c r="C65" s="76"/>
      <c r="D65" s="76"/>
      <c r="E65" s="76"/>
      <c r="F65" s="76"/>
      <c r="G65" s="91">
        <f>B65-D65-E65-F65</f>
        <v>3200</v>
      </c>
      <c r="H65" s="91">
        <f>G65-I65</f>
        <v>3200</v>
      </c>
      <c r="I65" s="91">
        <f>C65-E65-F65</f>
        <v>0</v>
      </c>
      <c r="J65" s="105" t="s">
        <v>178</v>
      </c>
    </row>
    <row r="66" spans="1:10" s="57" customFormat="1" ht="15.75" x14ac:dyDescent="0.2">
      <c r="A66" s="90" t="s">
        <v>188</v>
      </c>
      <c r="B66" s="76">
        <v>7555</v>
      </c>
      <c r="C66" s="76"/>
      <c r="D66" s="76"/>
      <c r="E66" s="76"/>
      <c r="F66" s="76"/>
      <c r="G66" s="91">
        <f>B66-D66-E66-F66</f>
        <v>7555</v>
      </c>
      <c r="H66" s="91">
        <f>G66-I66</f>
        <v>7555</v>
      </c>
      <c r="I66" s="91">
        <f>C66-E66-F66</f>
        <v>0</v>
      </c>
      <c r="J66" s="105" t="s">
        <v>178</v>
      </c>
    </row>
    <row r="67" spans="1:10" s="67" customFormat="1" ht="45" customHeight="1" x14ac:dyDescent="0.2">
      <c r="A67" s="78" t="s">
        <v>189</v>
      </c>
      <c r="B67" s="79">
        <f>B68</f>
        <v>5</v>
      </c>
      <c r="C67" s="79">
        <f t="shared" ref="C67:I70" si="23">C68</f>
        <v>0</v>
      </c>
      <c r="D67" s="79">
        <f t="shared" si="23"/>
        <v>0</v>
      </c>
      <c r="E67" s="79">
        <f t="shared" si="23"/>
        <v>0</v>
      </c>
      <c r="F67" s="79">
        <f t="shared" si="23"/>
        <v>0</v>
      </c>
      <c r="G67" s="79">
        <f t="shared" si="23"/>
        <v>5</v>
      </c>
      <c r="H67" s="79">
        <f t="shared" si="23"/>
        <v>5</v>
      </c>
      <c r="I67" s="79">
        <f t="shared" si="23"/>
        <v>0</v>
      </c>
      <c r="J67" s="79"/>
    </row>
    <row r="68" spans="1:10" s="116" customFormat="1" ht="31.5" x14ac:dyDescent="0.2">
      <c r="A68" s="114" t="s">
        <v>190</v>
      </c>
      <c r="B68" s="115">
        <f>B69</f>
        <v>5</v>
      </c>
      <c r="C68" s="115">
        <f t="shared" si="23"/>
        <v>0</v>
      </c>
      <c r="D68" s="115">
        <f t="shared" si="23"/>
        <v>0</v>
      </c>
      <c r="E68" s="115">
        <f t="shared" si="23"/>
        <v>0</v>
      </c>
      <c r="F68" s="115">
        <f t="shared" si="23"/>
        <v>0</v>
      </c>
      <c r="G68" s="115">
        <f t="shared" si="23"/>
        <v>5</v>
      </c>
      <c r="H68" s="115">
        <f t="shared" si="23"/>
        <v>5</v>
      </c>
      <c r="I68" s="115">
        <f t="shared" si="23"/>
        <v>0</v>
      </c>
      <c r="J68" s="115"/>
    </row>
    <row r="69" spans="1:10" s="118" customFormat="1" ht="15.75" x14ac:dyDescent="0.2">
      <c r="A69" s="117" t="s">
        <v>191</v>
      </c>
      <c r="B69" s="97">
        <f>B70</f>
        <v>5</v>
      </c>
      <c r="C69" s="97">
        <f t="shared" si="23"/>
        <v>0</v>
      </c>
      <c r="D69" s="97">
        <f t="shared" si="23"/>
        <v>0</v>
      </c>
      <c r="E69" s="97">
        <f t="shared" si="23"/>
        <v>0</v>
      </c>
      <c r="F69" s="97">
        <f t="shared" si="23"/>
        <v>0</v>
      </c>
      <c r="G69" s="97">
        <f t="shared" si="23"/>
        <v>5</v>
      </c>
      <c r="H69" s="97">
        <f t="shared" si="23"/>
        <v>5</v>
      </c>
      <c r="I69" s="97">
        <f t="shared" si="23"/>
        <v>0</v>
      </c>
      <c r="J69" s="97"/>
    </row>
    <row r="70" spans="1:10" s="70" customFormat="1" ht="98.45" customHeight="1" x14ac:dyDescent="0.2">
      <c r="A70" s="119" t="s">
        <v>192</v>
      </c>
      <c r="B70" s="69">
        <f>B71</f>
        <v>5</v>
      </c>
      <c r="C70" s="69">
        <f t="shared" si="23"/>
        <v>0</v>
      </c>
      <c r="D70" s="69">
        <f t="shared" si="23"/>
        <v>0</v>
      </c>
      <c r="E70" s="69">
        <f t="shared" si="23"/>
        <v>0</v>
      </c>
      <c r="F70" s="69">
        <f t="shared" si="23"/>
        <v>0</v>
      </c>
      <c r="G70" s="120">
        <f t="shared" si="23"/>
        <v>5</v>
      </c>
      <c r="H70" s="120">
        <f t="shared" si="23"/>
        <v>5</v>
      </c>
      <c r="I70" s="120">
        <f t="shared" si="23"/>
        <v>0</v>
      </c>
      <c r="J70" s="105" t="s">
        <v>193</v>
      </c>
    </row>
    <row r="71" spans="1:10" s="57" customFormat="1" ht="35.450000000000003" customHeight="1" x14ac:dyDescent="0.2">
      <c r="A71" s="121" t="s">
        <v>194</v>
      </c>
      <c r="B71" s="76">
        <v>5</v>
      </c>
      <c r="C71" s="76"/>
      <c r="D71" s="76"/>
      <c r="E71" s="76"/>
      <c r="F71" s="76"/>
      <c r="G71" s="91">
        <f>B71-D71-E71-F71</f>
        <v>5</v>
      </c>
      <c r="H71" s="91">
        <f>G71-I71</f>
        <v>5</v>
      </c>
      <c r="I71" s="91">
        <f>C71-E71-F71</f>
        <v>0</v>
      </c>
      <c r="J71" s="105"/>
    </row>
    <row r="72" spans="1:10" s="55" customFormat="1" ht="10.15" customHeight="1" x14ac:dyDescent="0.25">
      <c r="A72" s="122"/>
      <c r="B72" s="123"/>
      <c r="C72" s="123"/>
      <c r="D72" s="123"/>
      <c r="E72" s="123"/>
      <c r="F72" s="123"/>
      <c r="G72" s="123"/>
      <c r="H72" s="123"/>
      <c r="I72" s="123"/>
      <c r="J72" s="123"/>
    </row>
    <row r="73" spans="1:10" s="55" customFormat="1" ht="15.75" x14ac:dyDescent="0.25">
      <c r="A73" s="124" t="s">
        <v>195</v>
      </c>
    </row>
    <row r="74" spans="1:10" s="57" customFormat="1" ht="54.75" customHeight="1" x14ac:dyDescent="0.2">
      <c r="A74" s="192" t="s">
        <v>196</v>
      </c>
      <c r="B74" s="192"/>
      <c r="C74" s="192"/>
      <c r="D74" s="192"/>
      <c r="E74" s="192"/>
      <c r="F74" s="192"/>
      <c r="G74" s="192"/>
      <c r="H74" s="192"/>
      <c r="I74" s="192"/>
      <c r="J74" s="192"/>
    </row>
    <row r="75" spans="1:10" s="55" customFormat="1" ht="15.75" x14ac:dyDescent="0.25"/>
  </sheetData>
  <mergeCells count="13">
    <mergeCell ref="H5:I5"/>
    <mergeCell ref="J5:J6"/>
    <mergeCell ref="A74:J74"/>
    <mergeCell ref="A1:J1"/>
    <mergeCell ref="A2:J2"/>
    <mergeCell ref="A3:J3"/>
    <mergeCell ref="A5:A6"/>
    <mergeCell ref="B5:B6"/>
    <mergeCell ref="C5:C6"/>
    <mergeCell ref="D5:D6"/>
    <mergeCell ref="E5:E6"/>
    <mergeCell ref="F5:F6"/>
    <mergeCell ref="G5:G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FF"/>
  </sheetPr>
  <dimension ref="A1:AE64"/>
  <sheetViews>
    <sheetView zoomScaleNormal="100" workbookViewId="0">
      <selection activeCell="B14" sqref="B14"/>
    </sheetView>
  </sheetViews>
  <sheetFormatPr defaultColWidth="12" defaultRowHeight="15.75" x14ac:dyDescent="0.25"/>
  <cols>
    <col min="1" max="1" width="5.83203125" style="9" customWidth="1"/>
    <col min="2" max="2" width="57.5" style="9" customWidth="1"/>
    <col min="3" max="4" width="8.6640625" style="34" customWidth="1"/>
    <col min="5" max="5" width="19.83203125" style="9" customWidth="1"/>
    <col min="6" max="6" width="19.33203125" style="9" customWidth="1"/>
    <col min="7" max="7" width="20.5" style="9" customWidth="1"/>
    <col min="8" max="9" width="17.6640625" style="9" customWidth="1"/>
    <col min="10" max="10" width="19.1640625" style="9" customWidth="1"/>
    <col min="11" max="11" width="17.5" style="9" customWidth="1"/>
    <col min="12" max="12" width="18.5" style="9" customWidth="1"/>
    <col min="13" max="13" width="18" style="9" customWidth="1"/>
    <col min="14" max="14" width="17.6640625" style="9" customWidth="1"/>
    <col min="15" max="15" width="18.33203125" style="9" customWidth="1"/>
    <col min="16" max="16" width="17.6640625" style="9" customWidth="1"/>
    <col min="17" max="17" width="16.5" style="9" customWidth="1"/>
    <col min="18" max="18" width="14.5" style="7" customWidth="1"/>
    <col min="19" max="19" width="22.33203125" style="7" customWidth="1"/>
    <col min="20" max="20" width="17.6640625" style="7" customWidth="1"/>
    <col min="21" max="21" width="18.1640625" style="7" customWidth="1"/>
    <col min="22" max="22" width="15.33203125" style="7" customWidth="1"/>
    <col min="23" max="23" width="18" style="7" customWidth="1"/>
    <col min="24" max="24" width="17" style="7" customWidth="1"/>
    <col min="25" max="25" width="16.83203125" style="7" customWidth="1"/>
    <col min="26" max="26" width="18.83203125" style="7" customWidth="1"/>
    <col min="27" max="27" width="17.33203125" style="7" customWidth="1"/>
    <col min="28" max="28" width="14.33203125" style="7" customWidth="1"/>
    <col min="29" max="31" width="0" style="7" hidden="1" customWidth="1"/>
    <col min="32" max="16384" width="12" style="7"/>
  </cols>
  <sheetData>
    <row r="1" spans="1:31" x14ac:dyDescent="0.25">
      <c r="J1" s="33" t="s">
        <v>95</v>
      </c>
    </row>
    <row r="2" spans="1:31" ht="52.5" customHeight="1" x14ac:dyDescent="0.25">
      <c r="B2" s="35"/>
      <c r="C2" s="35"/>
      <c r="D2" s="35"/>
      <c r="E2" s="201" t="s">
        <v>217</v>
      </c>
      <c r="F2" s="201"/>
      <c r="G2" s="201"/>
      <c r="H2" s="201"/>
      <c r="I2" s="201"/>
      <c r="J2" s="201"/>
      <c r="K2" s="50"/>
      <c r="L2" s="50"/>
      <c r="M2" s="50"/>
      <c r="N2" s="50"/>
      <c r="O2" s="143"/>
      <c r="P2" s="143"/>
      <c r="Q2" s="35"/>
    </row>
    <row r="3" spans="1:31" ht="16.5" x14ac:dyDescent="0.25">
      <c r="B3" s="36"/>
      <c r="C3" s="36"/>
      <c r="D3" s="36"/>
      <c r="E3" s="202" t="s">
        <v>226</v>
      </c>
      <c r="F3" s="202"/>
      <c r="G3" s="202"/>
      <c r="H3" s="202"/>
      <c r="I3" s="202"/>
      <c r="J3" s="202"/>
      <c r="K3" s="36"/>
      <c r="L3" s="36"/>
      <c r="M3" s="36"/>
      <c r="N3" s="36"/>
      <c r="O3" s="42"/>
      <c r="P3" s="42"/>
      <c r="Q3" s="36"/>
    </row>
    <row r="4" spans="1:31" ht="18.75" x14ac:dyDescent="0.3">
      <c r="B4" s="10"/>
      <c r="C4" s="203"/>
      <c r="D4" s="203"/>
      <c r="E4" s="11"/>
      <c r="F4" s="12"/>
      <c r="G4" s="6"/>
      <c r="H4" s="6"/>
      <c r="I4" s="6"/>
      <c r="J4" s="13" t="s">
        <v>25</v>
      </c>
      <c r="K4" s="6"/>
      <c r="L4" s="6"/>
      <c r="M4" s="6"/>
      <c r="O4" s="43"/>
      <c r="P4" s="43"/>
    </row>
    <row r="5" spans="1:31" ht="72.75" customHeight="1" x14ac:dyDescent="0.25">
      <c r="A5" s="204" t="s">
        <v>0</v>
      </c>
      <c r="B5" s="204" t="s">
        <v>26</v>
      </c>
      <c r="C5" s="205" t="s">
        <v>27</v>
      </c>
      <c r="D5" s="205" t="s">
        <v>28</v>
      </c>
      <c r="E5" s="204" t="s">
        <v>96</v>
      </c>
      <c r="F5" s="204"/>
      <c r="G5" s="204"/>
      <c r="H5" s="204" t="s">
        <v>97</v>
      </c>
      <c r="I5" s="204"/>
      <c r="J5" s="204"/>
      <c r="K5" s="209" t="s">
        <v>218</v>
      </c>
      <c r="L5" s="210"/>
      <c r="M5" s="211"/>
      <c r="N5" s="207" t="s">
        <v>101</v>
      </c>
      <c r="O5" s="207" t="s">
        <v>100</v>
      </c>
      <c r="P5" s="207" t="s">
        <v>92</v>
      </c>
      <c r="Q5" s="204" t="s">
        <v>219</v>
      </c>
    </row>
    <row r="6" spans="1:31" ht="103.7" customHeight="1" x14ac:dyDescent="0.25">
      <c r="A6" s="204"/>
      <c r="B6" s="204"/>
      <c r="C6" s="205"/>
      <c r="D6" s="205"/>
      <c r="E6" s="141" t="s">
        <v>29</v>
      </c>
      <c r="F6" s="141" t="s">
        <v>30</v>
      </c>
      <c r="G6" s="141" t="s">
        <v>31</v>
      </c>
      <c r="H6" s="141" t="s">
        <v>29</v>
      </c>
      <c r="I6" s="141" t="s">
        <v>30</v>
      </c>
      <c r="J6" s="141" t="s">
        <v>32</v>
      </c>
      <c r="K6" s="141" t="s">
        <v>19</v>
      </c>
      <c r="L6" s="47" t="s">
        <v>98</v>
      </c>
      <c r="M6" s="47" t="s">
        <v>99</v>
      </c>
      <c r="N6" s="208"/>
      <c r="O6" s="208"/>
      <c r="P6" s="208"/>
      <c r="Q6" s="204"/>
      <c r="S6" s="7" t="s">
        <v>60</v>
      </c>
      <c r="V6" s="133" t="s">
        <v>205</v>
      </c>
      <c r="W6" s="133" t="s">
        <v>206</v>
      </c>
      <c r="X6" s="133" t="s">
        <v>207</v>
      </c>
      <c r="Y6" s="133" t="s">
        <v>216</v>
      </c>
      <c r="Z6" s="133" t="s">
        <v>203</v>
      </c>
      <c r="AA6" s="133" t="s">
        <v>202</v>
      </c>
      <c r="AB6" s="133" t="s">
        <v>204</v>
      </c>
      <c r="AC6" s="133" t="s">
        <v>201</v>
      </c>
      <c r="AD6" s="133" t="s">
        <v>201</v>
      </c>
      <c r="AE6" s="133" t="s">
        <v>201</v>
      </c>
    </row>
    <row r="7" spans="1:31" s="137" customFormat="1" ht="10.5" x14ac:dyDescent="0.15">
      <c r="A7" s="135">
        <v>1</v>
      </c>
      <c r="B7" s="135">
        <v>2</v>
      </c>
      <c r="C7" s="136" t="s">
        <v>21</v>
      </c>
      <c r="D7" s="136" t="s">
        <v>22</v>
      </c>
      <c r="E7" s="135">
        <v>5</v>
      </c>
      <c r="F7" s="135" t="s">
        <v>33</v>
      </c>
      <c r="G7" s="135" t="s">
        <v>34</v>
      </c>
      <c r="H7" s="135">
        <v>8</v>
      </c>
      <c r="I7" s="135" t="s">
        <v>35</v>
      </c>
      <c r="J7" s="135" t="s">
        <v>36</v>
      </c>
      <c r="K7" s="135" t="s">
        <v>20</v>
      </c>
      <c r="L7" s="135">
        <v>12</v>
      </c>
      <c r="M7" s="135">
        <v>13</v>
      </c>
      <c r="N7" s="135" t="s">
        <v>37</v>
      </c>
      <c r="O7" s="135">
        <v>15</v>
      </c>
      <c r="P7" s="135" t="s">
        <v>91</v>
      </c>
      <c r="Q7" s="135">
        <v>17</v>
      </c>
      <c r="V7" s="138"/>
      <c r="W7" s="138"/>
      <c r="X7" s="138"/>
      <c r="Y7" s="138"/>
      <c r="Z7" s="138"/>
      <c r="AA7" s="138"/>
      <c r="AB7" s="138"/>
      <c r="AC7" s="138"/>
      <c r="AD7" s="138"/>
      <c r="AE7" s="138"/>
    </row>
    <row r="8" spans="1:31" ht="15" customHeight="1" x14ac:dyDescent="0.25">
      <c r="A8" s="44"/>
      <c r="B8" s="44" t="s">
        <v>6</v>
      </c>
      <c r="C8" s="45"/>
      <c r="D8" s="45"/>
      <c r="E8" s="46">
        <f t="shared" ref="E8:N8" si="0">E9+E24</f>
        <v>55910000000</v>
      </c>
      <c r="F8" s="46">
        <f t="shared" si="0"/>
        <v>37120000000</v>
      </c>
      <c r="G8" s="46">
        <f t="shared" si="0"/>
        <v>18790000000</v>
      </c>
      <c r="H8" s="46">
        <f t="shared" si="0"/>
        <v>8902992862</v>
      </c>
      <c r="I8" s="46">
        <f t="shared" si="0"/>
        <v>5331198000</v>
      </c>
      <c r="J8" s="46">
        <f t="shared" si="0"/>
        <v>3571794862</v>
      </c>
      <c r="K8" s="46">
        <f t="shared" si="0"/>
        <v>4241275374</v>
      </c>
      <c r="L8" s="46">
        <f t="shared" si="0"/>
        <v>1386618512</v>
      </c>
      <c r="M8" s="46">
        <f t="shared" si="0"/>
        <v>2854656862</v>
      </c>
      <c r="N8" s="46">
        <f t="shared" si="0"/>
        <v>717138000</v>
      </c>
      <c r="O8" s="46">
        <f t="shared" ref="O8:P8" si="1">O9+O24</f>
        <v>4241275374</v>
      </c>
      <c r="P8" s="46">
        <f t="shared" si="1"/>
        <v>0</v>
      </c>
      <c r="Q8" s="48"/>
      <c r="S8" s="46">
        <f t="shared" ref="S8:X8" si="2">S9+S24</f>
        <v>0</v>
      </c>
      <c r="T8" s="46">
        <f t="shared" si="2"/>
        <v>3950713374</v>
      </c>
      <c r="U8" s="46">
        <f t="shared" si="2"/>
        <v>0</v>
      </c>
      <c r="V8" s="46">
        <f t="shared" si="2"/>
        <v>-1128262500</v>
      </c>
      <c r="W8" s="46">
        <f t="shared" si="2"/>
        <v>-1128262500</v>
      </c>
      <c r="X8" s="46">
        <f t="shared" si="2"/>
        <v>0</v>
      </c>
      <c r="Y8" s="46">
        <f t="shared" ref="Y8:AC8" si="3">Y9+Y24</f>
        <v>1726394362</v>
      </c>
      <c r="Z8" s="46">
        <f t="shared" si="3"/>
        <v>1009690976</v>
      </c>
      <c r="AA8" s="46">
        <f t="shared" si="3"/>
        <v>707853551</v>
      </c>
      <c r="AB8" s="46">
        <f t="shared" si="3"/>
        <v>8849835</v>
      </c>
      <c r="AC8" s="46">
        <f t="shared" si="3"/>
        <v>0</v>
      </c>
      <c r="AD8" s="46">
        <f t="shared" ref="AD8:AE8" si="4">AD9+AD24</f>
        <v>0</v>
      </c>
      <c r="AE8" s="46">
        <f t="shared" si="4"/>
        <v>0</v>
      </c>
    </row>
    <row r="9" spans="1:31" x14ac:dyDescent="0.25">
      <c r="A9" s="149" t="s">
        <v>3</v>
      </c>
      <c r="B9" s="150" t="s">
        <v>16</v>
      </c>
      <c r="C9" s="151"/>
      <c r="D9" s="151"/>
      <c r="E9" s="150">
        <f t="shared" ref="E9:N9" si="5">E10+E21</f>
        <v>5310000000</v>
      </c>
      <c r="F9" s="150">
        <f t="shared" si="5"/>
        <v>0</v>
      </c>
      <c r="G9" s="150">
        <f t="shared" si="5"/>
        <v>5310000000</v>
      </c>
      <c r="H9" s="150">
        <f t="shared" si="5"/>
        <v>1726394362</v>
      </c>
      <c r="I9" s="150">
        <f t="shared" si="5"/>
        <v>0</v>
      </c>
      <c r="J9" s="150">
        <f t="shared" si="5"/>
        <v>1726394362</v>
      </c>
      <c r="K9" s="150">
        <f t="shared" si="5"/>
        <v>1939913874</v>
      </c>
      <c r="L9" s="150">
        <f t="shared" si="5"/>
        <v>213519512</v>
      </c>
      <c r="M9" s="150">
        <f t="shared" si="5"/>
        <v>1726394362</v>
      </c>
      <c r="N9" s="150">
        <f t="shared" si="5"/>
        <v>0</v>
      </c>
      <c r="O9" s="150">
        <f t="shared" ref="O9:P9" si="6">O10+O21</f>
        <v>1939913874</v>
      </c>
      <c r="P9" s="150">
        <f t="shared" si="6"/>
        <v>0</v>
      </c>
      <c r="Q9" s="49"/>
      <c r="S9" s="150">
        <f t="shared" ref="S9:X9" si="7">S10+S21</f>
        <v>0</v>
      </c>
      <c r="T9" s="150">
        <f t="shared" si="7"/>
        <v>1939213874</v>
      </c>
      <c r="U9" s="150">
        <f t="shared" si="7"/>
        <v>0</v>
      </c>
      <c r="V9" s="150">
        <f t="shared" si="7"/>
        <v>0</v>
      </c>
      <c r="W9" s="150">
        <f t="shared" si="7"/>
        <v>0</v>
      </c>
      <c r="X9" s="150">
        <f t="shared" si="7"/>
        <v>0</v>
      </c>
      <c r="Y9" s="150">
        <f t="shared" ref="Y9:AC9" si="8">Y10+Y21</f>
        <v>1726394362</v>
      </c>
      <c r="Z9" s="150">
        <f t="shared" si="8"/>
        <v>1009690976</v>
      </c>
      <c r="AA9" s="150">
        <f t="shared" si="8"/>
        <v>707853551</v>
      </c>
      <c r="AB9" s="150">
        <f t="shared" si="8"/>
        <v>8849835</v>
      </c>
      <c r="AC9" s="150">
        <f t="shared" si="8"/>
        <v>0</v>
      </c>
      <c r="AD9" s="150">
        <f t="shared" ref="AD9:AE9" si="9">AD10+AD21</f>
        <v>0</v>
      </c>
      <c r="AE9" s="150">
        <f t="shared" si="9"/>
        <v>0</v>
      </c>
    </row>
    <row r="10" spans="1:31" s="155" customFormat="1" x14ac:dyDescent="0.25">
      <c r="A10" s="152">
        <v>1</v>
      </c>
      <c r="B10" s="153" t="s">
        <v>24</v>
      </c>
      <c r="C10" s="154"/>
      <c r="D10" s="154"/>
      <c r="E10" s="153">
        <f t="shared" ref="E10:N10" si="10">SUM(E11:E20)</f>
        <v>5130000000</v>
      </c>
      <c r="F10" s="153">
        <f t="shared" si="10"/>
        <v>0</v>
      </c>
      <c r="G10" s="153">
        <f t="shared" si="10"/>
        <v>5130000000</v>
      </c>
      <c r="H10" s="153">
        <f t="shared" si="10"/>
        <v>1706694362</v>
      </c>
      <c r="I10" s="153">
        <f t="shared" si="10"/>
        <v>0</v>
      </c>
      <c r="J10" s="153">
        <f t="shared" si="10"/>
        <v>1706694362</v>
      </c>
      <c r="K10" s="153">
        <f t="shared" si="10"/>
        <v>1920213874</v>
      </c>
      <c r="L10" s="153">
        <f t="shared" si="10"/>
        <v>213519512</v>
      </c>
      <c r="M10" s="153">
        <f t="shared" si="10"/>
        <v>1706694362</v>
      </c>
      <c r="N10" s="153">
        <f t="shared" si="10"/>
        <v>0</v>
      </c>
      <c r="O10" s="153">
        <f t="shared" ref="O10:P10" si="11">SUM(O11:O20)</f>
        <v>1920213874</v>
      </c>
      <c r="P10" s="153">
        <f t="shared" si="11"/>
        <v>0</v>
      </c>
      <c r="Q10" s="49"/>
      <c r="S10" s="153">
        <f t="shared" ref="S10:X10" si="12">SUM(S11:S20)</f>
        <v>0</v>
      </c>
      <c r="T10" s="153">
        <f t="shared" si="12"/>
        <v>1920213874</v>
      </c>
      <c r="U10" s="153">
        <f t="shared" si="12"/>
        <v>0</v>
      </c>
      <c r="V10" s="153">
        <f t="shared" si="12"/>
        <v>0</v>
      </c>
      <c r="W10" s="153">
        <f t="shared" si="12"/>
        <v>0</v>
      </c>
      <c r="X10" s="153">
        <f t="shared" si="12"/>
        <v>0</v>
      </c>
      <c r="Y10" s="153">
        <f t="shared" ref="Y10:AC10" si="13">SUM(Y11:Y20)</f>
        <v>1706694362</v>
      </c>
      <c r="Z10" s="153">
        <f t="shared" si="13"/>
        <v>1009190976</v>
      </c>
      <c r="AA10" s="153">
        <f t="shared" si="13"/>
        <v>688653551</v>
      </c>
      <c r="AB10" s="153">
        <f t="shared" si="13"/>
        <v>8849835</v>
      </c>
      <c r="AC10" s="153">
        <f t="shared" si="13"/>
        <v>0</v>
      </c>
      <c r="AD10" s="153">
        <f t="shared" ref="AD10:AE10" si="14">SUM(AD11:AD20)</f>
        <v>0</v>
      </c>
      <c r="AE10" s="153">
        <f t="shared" si="14"/>
        <v>0</v>
      </c>
    </row>
    <row r="11" spans="1:31" ht="31.5" x14ac:dyDescent="0.25">
      <c r="A11" s="14"/>
      <c r="B11" s="15" t="s">
        <v>39</v>
      </c>
      <c r="C11" s="16">
        <v>0</v>
      </c>
      <c r="D11" s="16">
        <v>1</v>
      </c>
      <c r="E11" s="17">
        <v>80000000</v>
      </c>
      <c r="F11" s="8">
        <f t="shared" ref="F11:F20" si="15">C11*$E11</f>
        <v>0</v>
      </c>
      <c r="G11" s="8">
        <f t="shared" ref="G11:G18" si="16">ROUND(D11*$E11,-0.1)</f>
        <v>80000000</v>
      </c>
      <c r="H11" s="8">
        <v>20000000</v>
      </c>
      <c r="I11" s="8">
        <f>H11*C11</f>
        <v>0</v>
      </c>
      <c r="J11" s="8">
        <f>H11-I11</f>
        <v>20000000</v>
      </c>
      <c r="K11" s="8">
        <f t="shared" ref="K11:K20" si="17">SUM(L11:M11)</f>
        <v>20000000</v>
      </c>
      <c r="L11" s="8">
        <v>0</v>
      </c>
      <c r="M11" s="8">
        <v>20000000</v>
      </c>
      <c r="N11" s="8">
        <f t="shared" ref="N11:N20" si="18">J11-M11</f>
        <v>0</v>
      </c>
      <c r="O11" s="8">
        <v>20000000</v>
      </c>
      <c r="P11" s="8">
        <f>O11-K11</f>
        <v>0</v>
      </c>
      <c r="Q11" s="132"/>
      <c r="R11" s="7" t="s">
        <v>40</v>
      </c>
      <c r="S11" s="6"/>
      <c r="T11" s="6">
        <f>K11-S11</f>
        <v>20000000</v>
      </c>
      <c r="U11" s="6">
        <f>Y11-H11</f>
        <v>0</v>
      </c>
      <c r="V11" s="17">
        <f>Y11-M11</f>
        <v>0</v>
      </c>
      <c r="W11" s="17">
        <f>Y11-O11+L11</f>
        <v>0</v>
      </c>
      <c r="X11" s="17"/>
      <c r="Y11" s="17">
        <f>SUM(Z11:AE11)</f>
        <v>20000000</v>
      </c>
      <c r="Z11" s="17"/>
      <c r="AA11" s="17">
        <v>20000000</v>
      </c>
      <c r="AB11" s="17"/>
      <c r="AC11" s="17"/>
      <c r="AD11" s="17"/>
      <c r="AE11" s="17"/>
    </row>
    <row r="12" spans="1:31" ht="31.5" x14ac:dyDescent="0.25">
      <c r="A12" s="14"/>
      <c r="B12" s="15" t="s">
        <v>41</v>
      </c>
      <c r="C12" s="16">
        <v>0</v>
      </c>
      <c r="D12" s="16">
        <v>1</v>
      </c>
      <c r="E12" s="17">
        <v>4300000000</v>
      </c>
      <c r="F12" s="8">
        <f t="shared" ref="F12:F16" si="19">C12*$E12</f>
        <v>0</v>
      </c>
      <c r="G12" s="8">
        <f t="shared" ref="G12" si="20">ROUND(D12*$E12,-0.1)</f>
        <v>4300000000</v>
      </c>
      <c r="H12" s="8">
        <v>1108894362</v>
      </c>
      <c r="I12" s="8">
        <f t="shared" ref="I12:I16" si="21">H12*C12</f>
        <v>0</v>
      </c>
      <c r="J12" s="8">
        <f t="shared" ref="J12:J16" si="22">H12-I12</f>
        <v>1108894362</v>
      </c>
      <c r="K12" s="8">
        <f>SUM(L12:M12)</f>
        <v>1161263874</v>
      </c>
      <c r="L12" s="8">
        <v>52369512</v>
      </c>
      <c r="M12" s="8">
        <f>821190976+278853551+8849835</f>
        <v>1108894362</v>
      </c>
      <c r="N12" s="8">
        <f t="shared" ref="N12:N16" si="23">J12-M12</f>
        <v>0</v>
      </c>
      <c r="O12" s="8">
        <v>1161263874</v>
      </c>
      <c r="P12" s="8">
        <f t="shared" ref="P12:P23" si="24">O12-K12</f>
        <v>0</v>
      </c>
      <c r="Q12" s="132"/>
      <c r="R12" s="7" t="s">
        <v>42</v>
      </c>
      <c r="S12" s="6"/>
      <c r="T12" s="6">
        <f>K12-S12</f>
        <v>1161263874</v>
      </c>
      <c r="U12" s="6">
        <f t="shared" ref="U12:U23" si="25">Y12-H12</f>
        <v>0</v>
      </c>
      <c r="V12" s="17">
        <f t="shared" ref="V12:V20" si="26">Y12-M12</f>
        <v>0</v>
      </c>
      <c r="W12" s="17">
        <f>Y12-O12+L12</f>
        <v>0</v>
      </c>
      <c r="X12" s="17"/>
      <c r="Y12" s="17">
        <f t="shared" ref="Y12:Y20" si="27">SUM(Z12:AE12)</f>
        <v>1108894362</v>
      </c>
      <c r="Z12" s="17">
        <v>821190976</v>
      </c>
      <c r="AA12" s="17">
        <v>278853551</v>
      </c>
      <c r="AB12" s="17">
        <v>8849835</v>
      </c>
      <c r="AC12" s="17"/>
      <c r="AD12" s="17"/>
      <c r="AE12" s="17"/>
    </row>
    <row r="13" spans="1:31" ht="47.25" x14ac:dyDescent="0.25">
      <c r="A13" s="14"/>
      <c r="B13" s="15" t="s">
        <v>43</v>
      </c>
      <c r="C13" s="16">
        <v>0</v>
      </c>
      <c r="D13" s="16">
        <v>0.4</v>
      </c>
      <c r="E13" s="17">
        <v>80000000</v>
      </c>
      <c r="F13" s="8">
        <f t="shared" si="19"/>
        <v>0</v>
      </c>
      <c r="G13" s="8">
        <f>E13</f>
        <v>80000000</v>
      </c>
      <c r="H13" s="8">
        <v>19700000</v>
      </c>
      <c r="I13" s="8">
        <f t="shared" si="21"/>
        <v>0</v>
      </c>
      <c r="J13" s="8">
        <f t="shared" si="22"/>
        <v>19700000</v>
      </c>
      <c r="K13" s="8">
        <f t="shared" ref="K13:K16" si="28">SUM(L13:M13)</f>
        <v>30850000</v>
      </c>
      <c r="L13" s="8">
        <v>11150000</v>
      </c>
      <c r="M13" s="8">
        <f>11500000+8200000</f>
        <v>19700000</v>
      </c>
      <c r="N13" s="8">
        <f t="shared" si="23"/>
        <v>0</v>
      </c>
      <c r="O13" s="8">
        <v>380850000</v>
      </c>
      <c r="P13" s="8">
        <f>O13-K13</f>
        <v>350000000</v>
      </c>
      <c r="Q13" s="132">
        <v>0</v>
      </c>
      <c r="R13" s="7" t="s">
        <v>44</v>
      </c>
      <c r="S13" s="6"/>
      <c r="T13" s="6">
        <f t="shared" ref="T13:T16" si="29">K13-S13</f>
        <v>30850000</v>
      </c>
      <c r="U13" s="6">
        <f t="shared" si="25"/>
        <v>350000000</v>
      </c>
      <c r="V13" s="17">
        <f t="shared" si="26"/>
        <v>350000000</v>
      </c>
      <c r="W13" s="17">
        <f>Y13-O13+L13</f>
        <v>0</v>
      </c>
      <c r="X13" s="17" t="s">
        <v>208</v>
      </c>
      <c r="Y13" s="17">
        <f t="shared" si="27"/>
        <v>369700000</v>
      </c>
      <c r="Z13" s="17">
        <v>11500000</v>
      </c>
      <c r="AA13" s="17">
        <f>8200000+350000000</f>
        <v>358200000</v>
      </c>
      <c r="AB13" s="17"/>
      <c r="AC13" s="17"/>
      <c r="AD13" s="17"/>
      <c r="AE13" s="17"/>
    </row>
    <row r="14" spans="1:31" x14ac:dyDescent="0.25">
      <c r="A14" s="14"/>
      <c r="B14" s="15" t="s">
        <v>59</v>
      </c>
      <c r="C14" s="16">
        <v>0</v>
      </c>
      <c r="D14" s="16">
        <v>0.2</v>
      </c>
      <c r="E14" s="17">
        <v>120000000</v>
      </c>
      <c r="F14" s="8">
        <f t="shared" si="19"/>
        <v>0</v>
      </c>
      <c r="G14" s="8">
        <f>E14</f>
        <v>120000000</v>
      </c>
      <c r="H14" s="8">
        <v>29000000</v>
      </c>
      <c r="I14" s="8">
        <f t="shared" si="21"/>
        <v>0</v>
      </c>
      <c r="J14" s="8">
        <f t="shared" si="22"/>
        <v>29000000</v>
      </c>
      <c r="K14" s="8">
        <f t="shared" si="28"/>
        <v>29000000</v>
      </c>
      <c r="L14" s="8">
        <v>0</v>
      </c>
      <c r="M14" s="8">
        <v>29000000</v>
      </c>
      <c r="N14" s="8">
        <f t="shared" si="23"/>
        <v>0</v>
      </c>
      <c r="O14" s="8">
        <v>29000000</v>
      </c>
      <c r="P14" s="8">
        <f t="shared" si="24"/>
        <v>0</v>
      </c>
      <c r="Q14" s="132"/>
      <c r="R14" s="7" t="s">
        <v>46</v>
      </c>
      <c r="S14" s="6"/>
      <c r="T14" s="6">
        <f t="shared" si="29"/>
        <v>29000000</v>
      </c>
      <c r="U14" s="6">
        <f t="shared" si="25"/>
        <v>0</v>
      </c>
      <c r="V14" s="17">
        <f t="shared" si="26"/>
        <v>0</v>
      </c>
      <c r="W14" s="17">
        <f t="shared" ref="W14:W17" si="30">Y14-O14+L14</f>
        <v>0</v>
      </c>
      <c r="X14" s="17" t="s">
        <v>209</v>
      </c>
      <c r="Y14" s="17">
        <f t="shared" si="27"/>
        <v>29000000</v>
      </c>
      <c r="Z14" s="17"/>
      <c r="AA14" s="17">
        <v>29000000</v>
      </c>
      <c r="AB14" s="17"/>
      <c r="AC14" s="17"/>
      <c r="AD14" s="17"/>
      <c r="AE14" s="17"/>
    </row>
    <row r="15" spans="1:31" ht="31.5" x14ac:dyDescent="0.25">
      <c r="A15" s="14"/>
      <c r="B15" s="15" t="s">
        <v>45</v>
      </c>
      <c r="C15" s="16">
        <v>0</v>
      </c>
      <c r="D15" s="16">
        <v>0.1</v>
      </c>
      <c r="E15" s="17">
        <v>40000000</v>
      </c>
      <c r="F15" s="8">
        <f t="shared" si="19"/>
        <v>0</v>
      </c>
      <c r="G15" s="8">
        <f>E15</f>
        <v>40000000</v>
      </c>
      <c r="H15" s="8"/>
      <c r="I15" s="8">
        <f t="shared" si="21"/>
        <v>0</v>
      </c>
      <c r="J15" s="8">
        <f t="shared" si="22"/>
        <v>0</v>
      </c>
      <c r="K15" s="8">
        <f t="shared" si="28"/>
        <v>0</v>
      </c>
      <c r="L15" s="8">
        <v>0</v>
      </c>
      <c r="M15" s="8"/>
      <c r="N15" s="8">
        <f t="shared" si="23"/>
        <v>0</v>
      </c>
      <c r="O15" s="8"/>
      <c r="P15" s="8">
        <f t="shared" si="24"/>
        <v>0</v>
      </c>
      <c r="Q15" s="132"/>
      <c r="R15" s="7" t="s">
        <v>46</v>
      </c>
      <c r="S15" s="6"/>
      <c r="T15" s="6">
        <f t="shared" si="29"/>
        <v>0</v>
      </c>
      <c r="U15" s="6">
        <f t="shared" si="25"/>
        <v>0</v>
      </c>
      <c r="V15" s="17">
        <f t="shared" si="26"/>
        <v>0</v>
      </c>
      <c r="W15" s="17">
        <f t="shared" si="30"/>
        <v>0</v>
      </c>
      <c r="X15" s="17" t="s">
        <v>209</v>
      </c>
      <c r="Y15" s="17">
        <f t="shared" si="27"/>
        <v>0</v>
      </c>
      <c r="Z15" s="17"/>
      <c r="AA15" s="17"/>
      <c r="AB15" s="17"/>
      <c r="AC15" s="17"/>
      <c r="AD15" s="17"/>
      <c r="AE15" s="17"/>
    </row>
    <row r="16" spans="1:31" ht="31.5" x14ac:dyDescent="0.25">
      <c r="A16" s="14"/>
      <c r="B16" s="15" t="s">
        <v>47</v>
      </c>
      <c r="C16" s="16">
        <v>0</v>
      </c>
      <c r="D16" s="16">
        <v>1</v>
      </c>
      <c r="E16" s="17">
        <v>500000000</v>
      </c>
      <c r="F16" s="8">
        <f t="shared" si="19"/>
        <v>0</v>
      </c>
      <c r="G16" s="8">
        <f t="shared" ref="G16" si="31">ROUND(D16*$E16,-0.1)</f>
        <v>500000000</v>
      </c>
      <c r="H16" s="8">
        <v>520000000</v>
      </c>
      <c r="I16" s="8">
        <f t="shared" si="21"/>
        <v>0</v>
      </c>
      <c r="J16" s="8">
        <f t="shared" si="22"/>
        <v>520000000</v>
      </c>
      <c r="K16" s="8">
        <f t="shared" si="28"/>
        <v>670000000</v>
      </c>
      <c r="L16" s="8">
        <v>150000000</v>
      </c>
      <c r="M16" s="8">
        <f>170000000+350000000</f>
        <v>520000000</v>
      </c>
      <c r="N16" s="8">
        <f t="shared" si="23"/>
        <v>0</v>
      </c>
      <c r="O16" s="8">
        <v>320000000</v>
      </c>
      <c r="P16" s="8">
        <f>O16-K16</f>
        <v>-350000000</v>
      </c>
      <c r="Q16" s="134"/>
      <c r="R16" s="41" t="s">
        <v>48</v>
      </c>
      <c r="S16" s="40"/>
      <c r="T16" s="40">
        <f t="shared" si="29"/>
        <v>670000000</v>
      </c>
      <c r="U16" s="6">
        <f t="shared" si="25"/>
        <v>-350000000</v>
      </c>
      <c r="V16" s="17">
        <f t="shared" si="26"/>
        <v>-350000000</v>
      </c>
      <c r="W16" s="17">
        <f t="shared" si="30"/>
        <v>0</v>
      </c>
      <c r="X16" s="17" t="s">
        <v>210</v>
      </c>
      <c r="Y16" s="17">
        <f t="shared" si="27"/>
        <v>170000000</v>
      </c>
      <c r="Z16" s="17">
        <v>170000000</v>
      </c>
      <c r="AA16" s="17"/>
      <c r="AB16" s="17"/>
      <c r="AC16" s="17"/>
      <c r="AD16" s="17"/>
      <c r="AE16" s="17"/>
    </row>
    <row r="17" spans="1:31" x14ac:dyDescent="0.25">
      <c r="A17" s="14"/>
      <c r="B17" s="15" t="s">
        <v>14</v>
      </c>
      <c r="C17" s="16">
        <v>0</v>
      </c>
      <c r="D17" s="16">
        <v>1</v>
      </c>
      <c r="E17" s="17">
        <v>6000000</v>
      </c>
      <c r="F17" s="8">
        <f t="shared" si="15"/>
        <v>0</v>
      </c>
      <c r="G17" s="8">
        <f t="shared" si="16"/>
        <v>6000000</v>
      </c>
      <c r="H17" s="8"/>
      <c r="I17" s="8">
        <f t="shared" ref="I17:I20" si="32">H17*C17</f>
        <v>0</v>
      </c>
      <c r="J17" s="8">
        <f t="shared" ref="J17:J20" si="33">H17-I17</f>
        <v>0</v>
      </c>
      <c r="K17" s="8">
        <f t="shared" si="17"/>
        <v>0</v>
      </c>
      <c r="L17" s="8">
        <v>0</v>
      </c>
      <c r="M17" s="8"/>
      <c r="N17" s="8">
        <f t="shared" si="18"/>
        <v>0</v>
      </c>
      <c r="O17" s="8"/>
      <c r="P17" s="8">
        <f t="shared" si="24"/>
        <v>0</v>
      </c>
      <c r="Q17" s="132"/>
      <c r="R17" s="7" t="s">
        <v>48</v>
      </c>
      <c r="S17" s="6"/>
      <c r="T17" s="6">
        <f t="shared" ref="T17:T20" si="34">K17-S17</f>
        <v>0</v>
      </c>
      <c r="U17" s="6">
        <f t="shared" si="25"/>
        <v>0</v>
      </c>
      <c r="V17" s="17">
        <f t="shared" si="26"/>
        <v>0</v>
      </c>
      <c r="W17" s="17">
        <f t="shared" si="30"/>
        <v>0</v>
      </c>
      <c r="X17" s="17"/>
      <c r="Y17" s="17">
        <f t="shared" si="27"/>
        <v>0</v>
      </c>
      <c r="Z17" s="17"/>
      <c r="AA17" s="17"/>
      <c r="AB17" s="17"/>
      <c r="AC17" s="17"/>
      <c r="AD17" s="17"/>
      <c r="AE17" s="17"/>
    </row>
    <row r="18" spans="1:31" ht="31.5" x14ac:dyDescent="0.25">
      <c r="A18" s="14"/>
      <c r="B18" s="15" t="s">
        <v>23</v>
      </c>
      <c r="C18" s="16">
        <v>0</v>
      </c>
      <c r="D18" s="16">
        <v>1</v>
      </c>
      <c r="E18" s="17">
        <v>2000000</v>
      </c>
      <c r="F18" s="8">
        <f t="shared" si="15"/>
        <v>0</v>
      </c>
      <c r="G18" s="8">
        <f t="shared" si="16"/>
        <v>2000000</v>
      </c>
      <c r="H18" s="8"/>
      <c r="I18" s="8">
        <f t="shared" si="32"/>
        <v>0</v>
      </c>
      <c r="J18" s="8">
        <f t="shared" si="33"/>
        <v>0</v>
      </c>
      <c r="K18" s="8">
        <f t="shared" si="17"/>
        <v>0</v>
      </c>
      <c r="L18" s="8">
        <v>0</v>
      </c>
      <c r="M18" s="8"/>
      <c r="N18" s="8">
        <f t="shared" si="18"/>
        <v>0</v>
      </c>
      <c r="O18" s="8"/>
      <c r="P18" s="8">
        <f t="shared" si="24"/>
        <v>0</v>
      </c>
      <c r="Q18" s="132"/>
      <c r="S18" s="6"/>
      <c r="T18" s="6">
        <f t="shared" si="34"/>
        <v>0</v>
      </c>
      <c r="U18" s="6">
        <f t="shared" si="25"/>
        <v>0</v>
      </c>
      <c r="V18" s="17">
        <f t="shared" si="26"/>
        <v>0</v>
      </c>
      <c r="W18" s="17">
        <f>Y18-O18+L18</f>
        <v>0</v>
      </c>
      <c r="X18" s="17"/>
      <c r="Y18" s="17">
        <f t="shared" si="27"/>
        <v>0</v>
      </c>
      <c r="Z18" s="17"/>
      <c r="AA18" s="17"/>
      <c r="AB18" s="17"/>
      <c r="AC18" s="17"/>
      <c r="AD18" s="17"/>
      <c r="AE18" s="17"/>
    </row>
    <row r="19" spans="1:31" x14ac:dyDescent="0.25">
      <c r="A19" s="14"/>
      <c r="B19" s="15" t="s">
        <v>51</v>
      </c>
      <c r="C19" s="16">
        <v>0</v>
      </c>
      <c r="D19" s="16">
        <v>1</v>
      </c>
      <c r="E19" s="17"/>
      <c r="F19" s="8">
        <f t="shared" ref="F19" si="35">C19*$E19</f>
        <v>0</v>
      </c>
      <c r="G19" s="8">
        <f t="shared" ref="G19" si="36">ROUND(D19*$E19,-0.1)</f>
        <v>0</v>
      </c>
      <c r="H19" s="8">
        <v>9100000</v>
      </c>
      <c r="I19" s="8">
        <f t="shared" ref="I19" si="37">H19*C19</f>
        <v>0</v>
      </c>
      <c r="J19" s="8">
        <f t="shared" ref="J19" si="38">H19-I19</f>
        <v>9100000</v>
      </c>
      <c r="K19" s="8">
        <f t="shared" ref="K19" si="39">SUM(L19:M19)</f>
        <v>9100000</v>
      </c>
      <c r="L19" s="8">
        <v>0</v>
      </c>
      <c r="M19" s="8">
        <f>6500000+2600000</f>
        <v>9100000</v>
      </c>
      <c r="N19" s="8">
        <f t="shared" ref="N19" si="40">J19-M19</f>
        <v>0</v>
      </c>
      <c r="O19" s="8">
        <v>9100000</v>
      </c>
      <c r="P19" s="8">
        <f t="shared" ref="P19" si="41">O19-K19</f>
        <v>0</v>
      </c>
      <c r="Q19" s="132"/>
      <c r="S19" s="6"/>
      <c r="T19" s="6">
        <f t="shared" ref="T19" si="42">K19-S19</f>
        <v>9100000</v>
      </c>
      <c r="U19" s="6">
        <f t="shared" si="25"/>
        <v>0</v>
      </c>
      <c r="V19" s="17">
        <f t="shared" si="26"/>
        <v>0</v>
      </c>
      <c r="W19" s="17">
        <f>Y19-O19+L19</f>
        <v>0</v>
      </c>
      <c r="X19" s="17" t="s">
        <v>211</v>
      </c>
      <c r="Y19" s="17">
        <f t="shared" si="27"/>
        <v>9100000</v>
      </c>
      <c r="Z19" s="17">
        <v>6500000</v>
      </c>
      <c r="AA19" s="17">
        <v>2600000</v>
      </c>
      <c r="AB19" s="17"/>
      <c r="AC19" s="17"/>
      <c r="AD19" s="17"/>
      <c r="AE19" s="17"/>
    </row>
    <row r="20" spans="1:31" ht="31.5" x14ac:dyDescent="0.25">
      <c r="A20" s="14"/>
      <c r="B20" s="15" t="s">
        <v>15</v>
      </c>
      <c r="C20" s="16">
        <v>0</v>
      </c>
      <c r="D20" s="16">
        <v>0.5</v>
      </c>
      <c r="E20" s="17">
        <v>2000000</v>
      </c>
      <c r="F20" s="8">
        <f t="shared" si="15"/>
        <v>0</v>
      </c>
      <c r="G20" s="8">
        <f>E20</f>
        <v>2000000</v>
      </c>
      <c r="H20" s="8"/>
      <c r="I20" s="8">
        <f t="shared" si="32"/>
        <v>0</v>
      </c>
      <c r="J20" s="8">
        <f t="shared" si="33"/>
        <v>0</v>
      </c>
      <c r="K20" s="8">
        <f t="shared" si="17"/>
        <v>0</v>
      </c>
      <c r="L20" s="8">
        <v>0</v>
      </c>
      <c r="M20" s="8"/>
      <c r="N20" s="8">
        <f t="shared" si="18"/>
        <v>0</v>
      </c>
      <c r="O20" s="8"/>
      <c r="P20" s="8">
        <f t="shared" si="24"/>
        <v>0</v>
      </c>
      <c r="Q20" s="49"/>
      <c r="R20" s="7" t="s">
        <v>48</v>
      </c>
      <c r="S20" s="6"/>
      <c r="T20" s="6">
        <f t="shared" si="34"/>
        <v>0</v>
      </c>
      <c r="U20" s="6">
        <f t="shared" si="25"/>
        <v>0</v>
      </c>
      <c r="V20" s="17">
        <f t="shared" si="26"/>
        <v>0</v>
      </c>
      <c r="W20" s="17">
        <f>Y20-O20+L20</f>
        <v>0</v>
      </c>
      <c r="X20" s="17"/>
      <c r="Y20" s="17">
        <f t="shared" si="27"/>
        <v>0</v>
      </c>
      <c r="Z20" s="17"/>
      <c r="AA20" s="17"/>
      <c r="AB20" s="17"/>
      <c r="AC20" s="17"/>
      <c r="AD20" s="17"/>
      <c r="AE20" s="17"/>
    </row>
    <row r="21" spans="1:31" s="155" customFormat="1" x14ac:dyDescent="0.25">
      <c r="A21" s="152">
        <v>2</v>
      </c>
      <c r="B21" s="153" t="s">
        <v>38</v>
      </c>
      <c r="C21" s="154"/>
      <c r="D21" s="154"/>
      <c r="E21" s="153">
        <f>SUM(E22:E23)</f>
        <v>180000000</v>
      </c>
      <c r="F21" s="153">
        <f t="shared" ref="F21:P21" si="43">SUM(F22:F23)</f>
        <v>0</v>
      </c>
      <c r="G21" s="153">
        <f t="shared" si="43"/>
        <v>180000000</v>
      </c>
      <c r="H21" s="153">
        <f t="shared" si="43"/>
        <v>19700000</v>
      </c>
      <c r="I21" s="153">
        <f t="shared" si="43"/>
        <v>0</v>
      </c>
      <c r="J21" s="153">
        <f t="shared" si="43"/>
        <v>19700000</v>
      </c>
      <c r="K21" s="153">
        <f t="shared" si="43"/>
        <v>19700000</v>
      </c>
      <c r="L21" s="153">
        <f t="shared" si="43"/>
        <v>0</v>
      </c>
      <c r="M21" s="153">
        <f t="shared" si="43"/>
        <v>19700000</v>
      </c>
      <c r="N21" s="153">
        <f t="shared" si="43"/>
        <v>0</v>
      </c>
      <c r="O21" s="153">
        <f t="shared" si="43"/>
        <v>19700000</v>
      </c>
      <c r="P21" s="153">
        <f t="shared" si="43"/>
        <v>0</v>
      </c>
      <c r="Q21" s="49"/>
      <c r="S21" s="153">
        <f t="shared" ref="S21" si="44">S22</f>
        <v>0</v>
      </c>
      <c r="T21" s="153">
        <f t="shared" ref="T21" si="45">T22</f>
        <v>19000000</v>
      </c>
      <c r="U21" s="153">
        <f t="shared" ref="U21:W21" si="46">SUM(U22:U23)</f>
        <v>0</v>
      </c>
      <c r="V21" s="153">
        <f t="shared" si="46"/>
        <v>0</v>
      </c>
      <c r="W21" s="153">
        <f t="shared" si="46"/>
        <v>0</v>
      </c>
      <c r="X21" s="17"/>
      <c r="Y21" s="153">
        <f>SUM(Y22:Y23)</f>
        <v>19700000</v>
      </c>
      <c r="Z21" s="153">
        <f t="shared" ref="Z21:AC21" si="47">SUM(Z22:Z23)</f>
        <v>500000</v>
      </c>
      <c r="AA21" s="153">
        <f t="shared" si="47"/>
        <v>19200000</v>
      </c>
      <c r="AB21" s="153">
        <f t="shared" si="47"/>
        <v>0</v>
      </c>
      <c r="AC21" s="153">
        <f t="shared" si="47"/>
        <v>0</v>
      </c>
      <c r="AD21" s="153">
        <f t="shared" ref="AD21" si="48">SUM(AD22:AD23)</f>
        <v>0</v>
      </c>
      <c r="AE21" s="153">
        <f t="shared" ref="AE21" si="49">SUM(AE22:AE23)</f>
        <v>0</v>
      </c>
    </row>
    <row r="22" spans="1:31" ht="31.5" x14ac:dyDescent="0.25">
      <c r="A22" s="14"/>
      <c r="B22" s="15" t="s">
        <v>49</v>
      </c>
      <c r="C22" s="18">
        <v>0</v>
      </c>
      <c r="D22" s="18">
        <v>1</v>
      </c>
      <c r="E22" s="17">
        <v>180000000</v>
      </c>
      <c r="F22" s="8">
        <f>C22*$E22</f>
        <v>0</v>
      </c>
      <c r="G22" s="8">
        <f>ROUND(D22*$E22,-0.1)</f>
        <v>180000000</v>
      </c>
      <c r="H22" s="8">
        <v>19000000</v>
      </c>
      <c r="I22" s="8">
        <f t="shared" ref="I22:I23" si="50">H22*C22</f>
        <v>0</v>
      </c>
      <c r="J22" s="8">
        <f t="shared" ref="J22:J23" si="51">H22-I22</f>
        <v>19000000</v>
      </c>
      <c r="K22" s="8">
        <f t="shared" ref="K22:K23" si="52">SUM(L22:M22)</f>
        <v>19000000</v>
      </c>
      <c r="L22" s="8"/>
      <c r="M22" s="8">
        <v>19000000</v>
      </c>
      <c r="N22" s="8">
        <f>J22-M22</f>
        <v>0</v>
      </c>
      <c r="O22" s="8"/>
      <c r="P22" s="8">
        <f t="shared" si="24"/>
        <v>-19000000</v>
      </c>
      <c r="Q22" s="49"/>
      <c r="R22" s="7" t="s">
        <v>50</v>
      </c>
      <c r="S22" s="6"/>
      <c r="T22" s="6">
        <f>K22-S22</f>
        <v>19000000</v>
      </c>
      <c r="U22" s="6">
        <f t="shared" si="25"/>
        <v>-19000000</v>
      </c>
      <c r="V22" s="17">
        <f t="shared" ref="V22:V23" si="53">Y22-M22</f>
        <v>-19000000</v>
      </c>
      <c r="W22" s="17">
        <f t="shared" ref="W22:W23" si="54">Y22-O22+L22</f>
        <v>0</v>
      </c>
      <c r="X22" s="17" t="s">
        <v>212</v>
      </c>
      <c r="Y22" s="17">
        <f t="shared" ref="Y22:Y23" si="55">SUM(Z22:AE22)</f>
        <v>0</v>
      </c>
      <c r="Z22" s="17"/>
      <c r="AA22" s="17"/>
      <c r="AB22" s="17"/>
      <c r="AC22" s="17"/>
      <c r="AD22" s="17"/>
      <c r="AE22" s="17"/>
    </row>
    <row r="23" spans="1:31" s="41" customFormat="1" ht="31.5" x14ac:dyDescent="0.25">
      <c r="A23" s="14"/>
      <c r="B23" s="15" t="s">
        <v>57</v>
      </c>
      <c r="C23" s="16">
        <v>0</v>
      </c>
      <c r="D23" s="16">
        <v>1</v>
      </c>
      <c r="E23" s="17"/>
      <c r="F23" s="8">
        <f>C23*$E23</f>
        <v>0</v>
      </c>
      <c r="G23" s="8">
        <f>ROUND(D23*$E23,-0.1)</f>
        <v>0</v>
      </c>
      <c r="H23" s="8">
        <v>700000</v>
      </c>
      <c r="I23" s="8">
        <f t="shared" si="50"/>
        <v>0</v>
      </c>
      <c r="J23" s="8">
        <f t="shared" si="51"/>
        <v>700000</v>
      </c>
      <c r="K23" s="8">
        <f t="shared" si="52"/>
        <v>700000</v>
      </c>
      <c r="L23" s="8"/>
      <c r="M23" s="8">
        <f>500000+200000</f>
        <v>700000</v>
      </c>
      <c r="N23" s="8">
        <f>J23-M23</f>
        <v>0</v>
      </c>
      <c r="O23" s="8">
        <f>700000+19000000</f>
        <v>19700000</v>
      </c>
      <c r="P23" s="8">
        <f t="shared" si="24"/>
        <v>19000000</v>
      </c>
      <c r="Q23" s="49"/>
      <c r="R23" s="41" t="s">
        <v>58</v>
      </c>
      <c r="S23" s="40"/>
      <c r="T23" s="40">
        <f>M23-S23</f>
        <v>700000</v>
      </c>
      <c r="U23" s="6">
        <f t="shared" si="25"/>
        <v>19000000</v>
      </c>
      <c r="V23" s="17">
        <f t="shared" si="53"/>
        <v>19000000</v>
      </c>
      <c r="W23" s="17">
        <f t="shared" si="54"/>
        <v>0</v>
      </c>
      <c r="X23" s="17" t="s">
        <v>213</v>
      </c>
      <c r="Y23" s="17">
        <f t="shared" si="55"/>
        <v>19700000</v>
      </c>
      <c r="Z23" s="17">
        <v>500000</v>
      </c>
      <c r="AA23" s="17">
        <f>200000+19000000</f>
        <v>19200000</v>
      </c>
      <c r="AB23" s="17"/>
      <c r="AC23" s="17"/>
      <c r="AD23" s="17"/>
      <c r="AE23" s="17"/>
    </row>
    <row r="24" spans="1:31" s="125" customFormat="1" x14ac:dyDescent="0.2">
      <c r="A24" s="156" t="s">
        <v>17</v>
      </c>
      <c r="B24" s="157" t="s">
        <v>18</v>
      </c>
      <c r="C24" s="158"/>
      <c r="D24" s="158"/>
      <c r="E24" s="159">
        <f>E25+E29</f>
        <v>50600000000</v>
      </c>
      <c r="F24" s="159">
        <f t="shared" ref="F24:N24" si="56">F25+F29</f>
        <v>37120000000</v>
      </c>
      <c r="G24" s="159">
        <f t="shared" si="56"/>
        <v>13480000000</v>
      </c>
      <c r="H24" s="159">
        <f t="shared" si="56"/>
        <v>7176598500</v>
      </c>
      <c r="I24" s="159">
        <f t="shared" si="56"/>
        <v>5331198000</v>
      </c>
      <c r="J24" s="159">
        <f t="shared" si="56"/>
        <v>1845400500</v>
      </c>
      <c r="K24" s="159">
        <f t="shared" si="56"/>
        <v>2301361500</v>
      </c>
      <c r="L24" s="159">
        <f t="shared" si="56"/>
        <v>1173099000</v>
      </c>
      <c r="M24" s="159">
        <f t="shared" si="56"/>
        <v>1128262500</v>
      </c>
      <c r="N24" s="159">
        <f t="shared" si="56"/>
        <v>717138000</v>
      </c>
      <c r="O24" s="159">
        <f t="shared" ref="O24:P24" si="57">O25+O29</f>
        <v>2301361500</v>
      </c>
      <c r="P24" s="159">
        <f t="shared" si="57"/>
        <v>0</v>
      </c>
      <c r="Q24" s="49"/>
      <c r="S24" s="159">
        <f t="shared" ref="S24" si="58">S25+S29</f>
        <v>0</v>
      </c>
      <c r="T24" s="159">
        <f t="shared" ref="T24:U24" si="59">T25+T29</f>
        <v>2011499500</v>
      </c>
      <c r="U24" s="159">
        <f t="shared" si="59"/>
        <v>0</v>
      </c>
      <c r="V24" s="159">
        <f t="shared" ref="V24:W24" si="60">V25+V29</f>
        <v>-1128262500</v>
      </c>
      <c r="W24" s="159">
        <f t="shared" si="60"/>
        <v>-1128262500</v>
      </c>
      <c r="X24" s="17"/>
      <c r="Y24" s="159">
        <f>Y25+Y29</f>
        <v>0</v>
      </c>
      <c r="Z24" s="159">
        <f t="shared" ref="Z24:AC24" si="61">Z25+Z29</f>
        <v>0</v>
      </c>
      <c r="AA24" s="159">
        <f t="shared" si="61"/>
        <v>0</v>
      </c>
      <c r="AB24" s="159">
        <f t="shared" si="61"/>
        <v>0</v>
      </c>
      <c r="AC24" s="159">
        <f t="shared" si="61"/>
        <v>0</v>
      </c>
      <c r="AD24" s="159">
        <f t="shared" ref="AD24" si="62">AD25+AD29</f>
        <v>0</v>
      </c>
      <c r="AE24" s="159">
        <f t="shared" ref="AE24" si="63">AE25+AE29</f>
        <v>0</v>
      </c>
    </row>
    <row r="25" spans="1:31" s="160" customFormat="1" x14ac:dyDescent="0.2">
      <c r="A25" s="152">
        <v>1</v>
      </c>
      <c r="B25" s="153" t="s">
        <v>24</v>
      </c>
      <c r="C25" s="154"/>
      <c r="D25" s="154"/>
      <c r="E25" s="153">
        <f>SUM(E26:E28)</f>
        <v>46700000000</v>
      </c>
      <c r="F25" s="153">
        <f t="shared" ref="F25:N25" si="64">SUM(F26:F28)</f>
        <v>37120000000</v>
      </c>
      <c r="G25" s="153">
        <f t="shared" si="64"/>
        <v>9580000000</v>
      </c>
      <c r="H25" s="153">
        <f t="shared" si="64"/>
        <v>6703083000</v>
      </c>
      <c r="I25" s="153">
        <f t="shared" si="64"/>
        <v>5331198000</v>
      </c>
      <c r="J25" s="153">
        <f t="shared" si="64"/>
        <v>1371885000</v>
      </c>
      <c r="K25" s="153">
        <f t="shared" si="64"/>
        <v>1742864000</v>
      </c>
      <c r="L25" s="153">
        <f t="shared" si="64"/>
        <v>883237000</v>
      </c>
      <c r="M25" s="153">
        <f t="shared" si="64"/>
        <v>859627000</v>
      </c>
      <c r="N25" s="153">
        <f t="shared" si="64"/>
        <v>512258000</v>
      </c>
      <c r="O25" s="153">
        <f t="shared" ref="O25:P25" si="65">SUM(O26:O28)</f>
        <v>1742864000</v>
      </c>
      <c r="P25" s="153">
        <f t="shared" si="65"/>
        <v>0</v>
      </c>
      <c r="Q25" s="49"/>
      <c r="S25" s="153">
        <f t="shared" ref="S25" si="66">SUM(S26:S28)</f>
        <v>0</v>
      </c>
      <c r="T25" s="153">
        <f t="shared" ref="T25:U25" si="67">SUM(T26:T28)</f>
        <v>1742864000</v>
      </c>
      <c r="U25" s="153">
        <f t="shared" si="67"/>
        <v>0</v>
      </c>
      <c r="V25" s="153">
        <f t="shared" ref="V25:W25" si="68">SUM(V26:V28)</f>
        <v>-859627000</v>
      </c>
      <c r="W25" s="153">
        <f t="shared" si="68"/>
        <v>-859627000</v>
      </c>
      <c r="X25" s="17"/>
      <c r="Y25" s="153">
        <f>SUM(Y26:Y28)</f>
        <v>0</v>
      </c>
      <c r="Z25" s="153">
        <f t="shared" ref="Z25:AC25" si="69">SUM(Z26:Z28)</f>
        <v>0</v>
      </c>
      <c r="AA25" s="153">
        <f t="shared" si="69"/>
        <v>0</v>
      </c>
      <c r="AB25" s="153">
        <f t="shared" si="69"/>
        <v>0</v>
      </c>
      <c r="AC25" s="153">
        <f t="shared" si="69"/>
        <v>0</v>
      </c>
      <c r="AD25" s="153">
        <f t="shared" ref="AD25" si="70">SUM(AD26:AD28)</f>
        <v>0</v>
      </c>
      <c r="AE25" s="153">
        <f t="shared" ref="AE25" si="71">SUM(AE26:AE28)</f>
        <v>0</v>
      </c>
    </row>
    <row r="26" spans="1:31" s="41" customFormat="1" x14ac:dyDescent="0.2">
      <c r="A26" s="14"/>
      <c r="B26" s="15" t="s">
        <v>51</v>
      </c>
      <c r="C26" s="16">
        <v>0.8</v>
      </c>
      <c r="D26" s="16">
        <v>0.2</v>
      </c>
      <c r="E26" s="17">
        <v>42000000000</v>
      </c>
      <c r="F26" s="8">
        <f t="shared" ref="F26:F28" si="72">C26*$E26</f>
        <v>33600000000</v>
      </c>
      <c r="G26" s="8">
        <f t="shared" ref="G26:G28" si="73">ROUND(D26*$E26,-0.1)</f>
        <v>8400000000</v>
      </c>
      <c r="H26" s="1">
        <f>3843765000+2350200000</f>
        <v>6193965000</v>
      </c>
      <c r="I26" s="8">
        <f>H26*C26</f>
        <v>4955172000</v>
      </c>
      <c r="J26" s="8">
        <f t="shared" ref="J26:J28" si="74">H26-I26</f>
        <v>1238793000</v>
      </c>
      <c r="K26" s="8">
        <f t="shared" ref="K26:K28" si="75">SUM(L26:M26)</f>
        <v>1555126000</v>
      </c>
      <c r="L26" s="8">
        <v>786373000</v>
      </c>
      <c r="M26" s="8">
        <f>768753000</f>
        <v>768753000</v>
      </c>
      <c r="N26" s="8">
        <f t="shared" ref="N26:N28" si="76">J26-M26</f>
        <v>470040000</v>
      </c>
      <c r="O26" s="8">
        <f>1564226000-O19</f>
        <v>1555126000</v>
      </c>
      <c r="P26" s="8">
        <f t="shared" ref="P26:P28" si="77">O26-K26</f>
        <v>0</v>
      </c>
      <c r="Q26" s="49"/>
      <c r="R26" s="41" t="s">
        <v>52</v>
      </c>
      <c r="S26" s="40"/>
      <c r="T26" s="40">
        <f>K26-S26</f>
        <v>1555126000</v>
      </c>
      <c r="V26" s="17">
        <f t="shared" ref="V26:V28" si="78">Y26-M26</f>
        <v>-768753000</v>
      </c>
      <c r="W26" s="17">
        <f t="shared" ref="W26:W28" si="79">Y26-O26+L26</f>
        <v>-768753000</v>
      </c>
      <c r="X26" s="17" t="s">
        <v>211</v>
      </c>
      <c r="Y26" s="17">
        <f t="shared" ref="Y26:Y28" si="80">SUM(Z26:AE26)</f>
        <v>0</v>
      </c>
      <c r="Z26" s="17"/>
      <c r="AA26" s="17"/>
      <c r="AB26" s="17"/>
      <c r="AC26" s="17"/>
      <c r="AD26" s="17"/>
      <c r="AE26" s="17"/>
    </row>
    <row r="27" spans="1:31" s="41" customFormat="1" x14ac:dyDescent="0.2">
      <c r="A27" s="14"/>
      <c r="B27" s="17" t="s">
        <v>53</v>
      </c>
      <c r="C27" s="18">
        <v>0.5</v>
      </c>
      <c r="D27" s="18">
        <v>0.5</v>
      </c>
      <c r="E27" s="17">
        <v>800000000</v>
      </c>
      <c r="F27" s="8">
        <f t="shared" si="72"/>
        <v>400000000</v>
      </c>
      <c r="G27" s="8">
        <f t="shared" si="73"/>
        <v>400000000</v>
      </c>
      <c r="H27" s="1">
        <f>68140000+36088000</f>
        <v>104228000</v>
      </c>
      <c r="I27" s="8">
        <f t="shared" ref="I27:I28" si="81">H27*C27</f>
        <v>52114000</v>
      </c>
      <c r="J27" s="8">
        <f t="shared" si="74"/>
        <v>52114000</v>
      </c>
      <c r="K27" s="8">
        <f t="shared" si="75"/>
        <v>73694000</v>
      </c>
      <c r="L27" s="8">
        <f>39624000</f>
        <v>39624000</v>
      </c>
      <c r="M27" s="8">
        <f>34150000-80000</f>
        <v>34070000</v>
      </c>
      <c r="N27" s="8">
        <f t="shared" si="76"/>
        <v>18044000</v>
      </c>
      <c r="O27" s="8">
        <v>73694000</v>
      </c>
      <c r="P27" s="8">
        <f t="shared" si="77"/>
        <v>0</v>
      </c>
      <c r="Q27" s="49"/>
      <c r="R27" s="41" t="s">
        <v>54</v>
      </c>
      <c r="S27" s="40"/>
      <c r="T27" s="40">
        <f t="shared" ref="T27:T28" si="82">K27-S27</f>
        <v>73694000</v>
      </c>
      <c r="V27" s="17">
        <f t="shared" si="78"/>
        <v>-34070000</v>
      </c>
      <c r="W27" s="17">
        <f t="shared" si="79"/>
        <v>-34070000</v>
      </c>
      <c r="X27" s="17" t="s">
        <v>214</v>
      </c>
      <c r="Y27" s="17">
        <f t="shared" si="80"/>
        <v>0</v>
      </c>
      <c r="Z27" s="17"/>
      <c r="AA27" s="17"/>
      <c r="AB27" s="17"/>
      <c r="AC27" s="17"/>
      <c r="AD27" s="17"/>
      <c r="AE27" s="17"/>
    </row>
    <row r="28" spans="1:31" s="41" customFormat="1" x14ac:dyDescent="0.2">
      <c r="A28" s="14"/>
      <c r="B28" s="15" t="s">
        <v>55</v>
      </c>
      <c r="C28" s="16">
        <v>0.8</v>
      </c>
      <c r="D28" s="16">
        <v>0.2</v>
      </c>
      <c r="E28" s="17">
        <v>3900000000</v>
      </c>
      <c r="F28" s="8">
        <f t="shared" si="72"/>
        <v>3120000000</v>
      </c>
      <c r="G28" s="8">
        <f t="shared" si="73"/>
        <v>780000000</v>
      </c>
      <c r="H28" s="1">
        <f>284020000+120870000</f>
        <v>404890000</v>
      </c>
      <c r="I28" s="8">
        <f t="shared" si="81"/>
        <v>323912000</v>
      </c>
      <c r="J28" s="8">
        <f t="shared" si="74"/>
        <v>80978000</v>
      </c>
      <c r="K28" s="8">
        <f t="shared" si="75"/>
        <v>114044000</v>
      </c>
      <c r="L28" s="8">
        <v>57240000</v>
      </c>
      <c r="M28" s="8">
        <v>56804000</v>
      </c>
      <c r="N28" s="8">
        <f t="shared" si="76"/>
        <v>24174000</v>
      </c>
      <c r="O28" s="8">
        <v>114044000</v>
      </c>
      <c r="P28" s="8">
        <f t="shared" si="77"/>
        <v>0</v>
      </c>
      <c r="Q28" s="49"/>
      <c r="R28" s="41" t="s">
        <v>56</v>
      </c>
      <c r="S28" s="40"/>
      <c r="T28" s="40">
        <f t="shared" si="82"/>
        <v>114044000</v>
      </c>
      <c r="V28" s="17">
        <f t="shared" si="78"/>
        <v>-56804000</v>
      </c>
      <c r="W28" s="17">
        <f t="shared" si="79"/>
        <v>-56804000</v>
      </c>
      <c r="X28" s="17" t="s">
        <v>215</v>
      </c>
      <c r="Y28" s="17">
        <f t="shared" si="80"/>
        <v>0</v>
      </c>
      <c r="Z28" s="17"/>
      <c r="AA28" s="17"/>
      <c r="AB28" s="17"/>
      <c r="AC28" s="17"/>
      <c r="AD28" s="17"/>
      <c r="AE28" s="17"/>
    </row>
    <row r="29" spans="1:31" s="160" customFormat="1" x14ac:dyDescent="0.2">
      <c r="A29" s="152">
        <v>2</v>
      </c>
      <c r="B29" s="153" t="s">
        <v>38</v>
      </c>
      <c r="C29" s="154"/>
      <c r="D29" s="154"/>
      <c r="E29" s="153">
        <f>E30</f>
        <v>3900000000</v>
      </c>
      <c r="F29" s="153">
        <f t="shared" ref="F29:P29" si="83">F30</f>
        <v>0</v>
      </c>
      <c r="G29" s="153">
        <f t="shared" si="83"/>
        <v>3900000000</v>
      </c>
      <c r="H29" s="153">
        <f t="shared" si="83"/>
        <v>473515500</v>
      </c>
      <c r="I29" s="153">
        <f t="shared" si="83"/>
        <v>0</v>
      </c>
      <c r="J29" s="153">
        <f t="shared" si="83"/>
        <v>473515500</v>
      </c>
      <c r="K29" s="153">
        <f t="shared" si="83"/>
        <v>558497500</v>
      </c>
      <c r="L29" s="153">
        <f t="shared" si="83"/>
        <v>289862000</v>
      </c>
      <c r="M29" s="153">
        <f t="shared" si="83"/>
        <v>268635500</v>
      </c>
      <c r="N29" s="153">
        <f t="shared" si="83"/>
        <v>204880000</v>
      </c>
      <c r="O29" s="153">
        <f t="shared" si="83"/>
        <v>558497500</v>
      </c>
      <c r="P29" s="153">
        <f t="shared" si="83"/>
        <v>0</v>
      </c>
      <c r="Q29" s="49"/>
      <c r="S29" s="153">
        <f t="shared" ref="S29:T29" si="84">S30</f>
        <v>0</v>
      </c>
      <c r="T29" s="153">
        <f t="shared" si="84"/>
        <v>268635500</v>
      </c>
      <c r="U29" s="153">
        <f t="shared" ref="U29:W29" si="85">U30</f>
        <v>0</v>
      </c>
      <c r="V29" s="153">
        <f t="shared" si="85"/>
        <v>-268635500</v>
      </c>
      <c r="W29" s="153">
        <f t="shared" si="85"/>
        <v>-268635500</v>
      </c>
      <c r="X29" s="17"/>
      <c r="Y29" s="153">
        <f>Y30</f>
        <v>0</v>
      </c>
      <c r="Z29" s="153">
        <f t="shared" ref="Z29:AC29" si="86">Z30</f>
        <v>0</v>
      </c>
      <c r="AA29" s="153">
        <f t="shared" si="86"/>
        <v>0</v>
      </c>
      <c r="AB29" s="153">
        <f t="shared" si="86"/>
        <v>0</v>
      </c>
      <c r="AC29" s="153">
        <f t="shared" si="86"/>
        <v>0</v>
      </c>
      <c r="AD29" s="153">
        <f t="shared" ref="AD29" si="87">AD30</f>
        <v>0</v>
      </c>
      <c r="AE29" s="153">
        <f t="shared" ref="AE29" si="88">AE30</f>
        <v>0</v>
      </c>
    </row>
    <row r="30" spans="1:31" s="41" customFormat="1" ht="31.5" x14ac:dyDescent="0.2">
      <c r="A30" s="14"/>
      <c r="B30" s="15" t="s">
        <v>57</v>
      </c>
      <c r="C30" s="16">
        <v>0</v>
      </c>
      <c r="D30" s="16">
        <v>1</v>
      </c>
      <c r="E30" s="17">
        <v>3900000000</v>
      </c>
      <c r="F30" s="8">
        <f>C30*$E30</f>
        <v>0</v>
      </c>
      <c r="G30" s="8">
        <f>ROUND(D30*$E30,-0.1)</f>
        <v>3900000000</v>
      </c>
      <c r="H30" s="1">
        <f>(268635000+500)+204880000</f>
        <v>473515500</v>
      </c>
      <c r="I30" s="8">
        <f t="shared" ref="I30" si="89">H30*C30</f>
        <v>0</v>
      </c>
      <c r="J30" s="8">
        <f t="shared" ref="J30" si="90">H30-I30</f>
        <v>473515500</v>
      </c>
      <c r="K30" s="8">
        <f t="shared" ref="K30" si="91">SUM(L30:M30)</f>
        <v>558497500</v>
      </c>
      <c r="L30" s="8">
        <f>290022000-160000</f>
        <v>289862000</v>
      </c>
      <c r="M30" s="8">
        <f>268475500+160000</f>
        <v>268635500</v>
      </c>
      <c r="N30" s="8">
        <f>J30-M30</f>
        <v>204880000</v>
      </c>
      <c r="O30" s="8">
        <f>578197500-19700000</f>
        <v>558497500</v>
      </c>
      <c r="P30" s="8">
        <f t="shared" ref="P30" si="92">O30-K30</f>
        <v>0</v>
      </c>
      <c r="Q30" s="49"/>
      <c r="R30" s="41" t="s">
        <v>58</v>
      </c>
      <c r="S30" s="40"/>
      <c r="T30" s="40">
        <f>M30-S30</f>
        <v>268635500</v>
      </c>
      <c r="V30" s="17">
        <f>Y30-M30</f>
        <v>-268635500</v>
      </c>
      <c r="W30" s="17">
        <f>Y30-O30+L30</f>
        <v>-268635500</v>
      </c>
      <c r="X30" s="17" t="s">
        <v>213</v>
      </c>
      <c r="Y30" s="17">
        <f>SUM(Z30:AE30)</f>
        <v>0</v>
      </c>
      <c r="Z30" s="17"/>
      <c r="AA30" s="17"/>
      <c r="AB30" s="17"/>
      <c r="AC30" s="17"/>
      <c r="AD30" s="17"/>
      <c r="AE30" s="17"/>
    </row>
    <row r="31" spans="1:31" x14ac:dyDescent="0.25">
      <c r="A31" s="19"/>
      <c r="B31" s="20"/>
      <c r="C31" s="21"/>
      <c r="D31" s="21"/>
      <c r="E31" s="22"/>
      <c r="F31" s="22"/>
      <c r="G31" s="22"/>
      <c r="H31" s="22"/>
      <c r="I31" s="22"/>
      <c r="J31" s="22"/>
      <c r="K31" s="22"/>
      <c r="L31" s="22"/>
      <c r="M31" s="22"/>
      <c r="N31" s="22"/>
      <c r="O31" s="22"/>
      <c r="P31" s="22"/>
      <c r="Q31" s="23"/>
      <c r="V31" s="22"/>
      <c r="W31" s="22"/>
      <c r="X31" s="22"/>
      <c r="Y31" s="22"/>
      <c r="Z31" s="22"/>
      <c r="AA31" s="22"/>
      <c r="AB31" s="22"/>
      <c r="AC31" s="22"/>
      <c r="AD31" s="22"/>
      <c r="AE31" s="22"/>
    </row>
    <row r="32" spans="1:31" x14ac:dyDescent="0.25">
      <c r="A32" s="212"/>
      <c r="B32" s="212"/>
      <c r="C32" s="24"/>
      <c r="D32" s="24"/>
      <c r="E32" s="213"/>
      <c r="F32" s="213"/>
      <c r="G32" s="213"/>
      <c r="H32" s="139"/>
      <c r="I32" s="139"/>
      <c r="J32" s="51"/>
      <c r="K32" s="139"/>
      <c r="L32" s="139"/>
      <c r="M32" s="139"/>
      <c r="N32" s="139"/>
      <c r="O32" s="139"/>
      <c r="P32" s="139"/>
      <c r="Q32" s="25"/>
    </row>
    <row r="33" spans="1:17" x14ac:dyDescent="0.25">
      <c r="A33" s="26"/>
      <c r="B33" s="26"/>
      <c r="C33" s="27"/>
      <c r="D33" s="27"/>
      <c r="E33" s="214"/>
      <c r="F33" s="214"/>
      <c r="G33" s="214"/>
      <c r="H33" s="52"/>
      <c r="I33" s="52"/>
      <c r="J33" s="51"/>
      <c r="K33" s="140"/>
      <c r="L33" s="140"/>
      <c r="M33" s="140"/>
      <c r="N33" s="140"/>
      <c r="O33" s="140"/>
      <c r="P33" s="140"/>
      <c r="Q33" s="25"/>
    </row>
    <row r="34" spans="1:17" x14ac:dyDescent="0.25">
      <c r="A34" s="26"/>
      <c r="B34" s="26"/>
      <c r="C34" s="27"/>
      <c r="D34" s="27"/>
      <c r="E34" s="140"/>
      <c r="F34" s="140"/>
      <c r="G34" s="140"/>
      <c r="H34" s="52"/>
      <c r="I34" s="52"/>
      <c r="J34" s="52"/>
      <c r="K34" s="140"/>
      <c r="L34" s="140"/>
      <c r="M34" s="140"/>
      <c r="N34" s="140"/>
      <c r="O34" s="140"/>
      <c r="P34" s="140"/>
      <c r="Q34" s="25"/>
    </row>
    <row r="35" spans="1:17" x14ac:dyDescent="0.25">
      <c r="A35" s="26"/>
      <c r="B35" s="26"/>
      <c r="C35" s="27"/>
      <c r="D35" s="27"/>
      <c r="E35" s="140"/>
      <c r="F35" s="140"/>
      <c r="G35" s="140"/>
      <c r="H35" s="140"/>
      <c r="I35" s="140"/>
      <c r="J35" s="52"/>
      <c r="K35" s="140"/>
      <c r="L35" s="140"/>
      <c r="M35" s="140"/>
      <c r="N35" s="140"/>
      <c r="O35" s="140"/>
      <c r="P35" s="140"/>
      <c r="Q35" s="25"/>
    </row>
    <row r="36" spans="1:17" x14ac:dyDescent="0.25">
      <c r="A36" s="139"/>
      <c r="B36" s="28"/>
      <c r="C36" s="29"/>
      <c r="D36" s="29"/>
      <c r="E36" s="30"/>
      <c r="F36" s="30"/>
      <c r="G36" s="30"/>
      <c r="H36" s="30"/>
      <c r="I36" s="30"/>
      <c r="J36" s="30"/>
      <c r="K36" s="30"/>
      <c r="L36" s="30"/>
      <c r="M36" s="30"/>
      <c r="N36" s="30"/>
      <c r="O36" s="30"/>
      <c r="P36" s="30"/>
      <c r="Q36" s="25"/>
    </row>
    <row r="37" spans="1:17" x14ac:dyDescent="0.25">
      <c r="A37" s="31"/>
      <c r="B37" s="142"/>
      <c r="C37" s="32"/>
      <c r="D37" s="32"/>
      <c r="E37" s="206"/>
      <c r="F37" s="206"/>
      <c r="G37" s="206"/>
      <c r="H37" s="142"/>
      <c r="I37" s="142"/>
      <c r="J37" s="142"/>
      <c r="K37" s="142"/>
      <c r="L37" s="142"/>
      <c r="M37" s="142"/>
      <c r="N37" s="142"/>
      <c r="O37" s="142"/>
      <c r="P37" s="142"/>
    </row>
    <row r="38" spans="1:17" x14ac:dyDescent="0.25">
      <c r="A38" s="31"/>
      <c r="B38" s="142"/>
      <c r="C38" s="32"/>
      <c r="D38" s="32"/>
      <c r="E38" s="33"/>
      <c r="F38" s="33"/>
      <c r="G38" s="33"/>
      <c r="H38" s="33"/>
      <c r="I38" s="33"/>
      <c r="J38" s="33"/>
      <c r="K38" s="33"/>
      <c r="L38" s="33"/>
      <c r="M38" s="33"/>
      <c r="N38" s="33"/>
      <c r="O38" s="33"/>
      <c r="P38" s="33"/>
    </row>
    <row r="39" spans="1:17" x14ac:dyDescent="0.25">
      <c r="A39" s="31"/>
      <c r="B39" s="142"/>
      <c r="C39" s="32"/>
      <c r="D39" s="32"/>
      <c r="E39" s="33"/>
      <c r="F39" s="33"/>
      <c r="G39" s="33"/>
      <c r="H39" s="33"/>
      <c r="I39" s="33"/>
      <c r="J39" s="33"/>
      <c r="K39" s="33"/>
      <c r="L39" s="33"/>
      <c r="M39" s="33"/>
      <c r="N39" s="33"/>
      <c r="O39" s="33"/>
      <c r="P39" s="33"/>
    </row>
    <row r="40" spans="1:17" x14ac:dyDescent="0.25">
      <c r="A40" s="31"/>
      <c r="B40" s="142"/>
      <c r="C40" s="32"/>
      <c r="D40" s="32"/>
      <c r="E40" s="33"/>
      <c r="F40" s="33"/>
      <c r="G40" s="33"/>
      <c r="H40" s="33"/>
      <c r="I40" s="33"/>
      <c r="J40" s="33"/>
      <c r="K40" s="33"/>
      <c r="L40" s="33"/>
      <c r="M40" s="33"/>
      <c r="N40" s="33"/>
      <c r="O40" s="33"/>
      <c r="P40" s="33"/>
    </row>
    <row r="41" spans="1:17" x14ac:dyDescent="0.25">
      <c r="A41" s="31"/>
      <c r="B41" s="142"/>
      <c r="C41" s="32"/>
      <c r="D41" s="32"/>
      <c r="E41" s="33"/>
      <c r="F41" s="33"/>
      <c r="G41" s="33"/>
      <c r="H41" s="33"/>
      <c r="I41" s="33"/>
      <c r="J41" s="33"/>
      <c r="K41" s="33"/>
      <c r="L41" s="33"/>
      <c r="M41" s="33"/>
      <c r="N41" s="33"/>
      <c r="O41" s="33"/>
      <c r="P41" s="33"/>
    </row>
    <row r="42" spans="1:17" x14ac:dyDescent="0.25">
      <c r="A42" s="31"/>
      <c r="B42" s="142"/>
      <c r="C42" s="32"/>
      <c r="D42" s="32"/>
      <c r="E42" s="33"/>
      <c r="F42" s="33"/>
      <c r="G42" s="33"/>
      <c r="H42" s="33"/>
      <c r="I42" s="33"/>
      <c r="J42" s="33"/>
      <c r="K42" s="33"/>
      <c r="L42" s="33"/>
      <c r="M42" s="33"/>
      <c r="N42" s="33"/>
      <c r="O42" s="33"/>
      <c r="P42" s="33"/>
    </row>
    <row r="43" spans="1:17" s="9" customFormat="1" x14ac:dyDescent="0.25">
      <c r="A43" s="31"/>
      <c r="B43" s="142"/>
      <c r="C43" s="32"/>
      <c r="D43" s="32"/>
      <c r="E43" s="33"/>
      <c r="F43" s="33"/>
      <c r="G43" s="33"/>
      <c r="H43" s="33"/>
      <c r="I43" s="33"/>
      <c r="J43" s="33"/>
      <c r="K43" s="33"/>
      <c r="L43" s="33"/>
      <c r="M43" s="33"/>
      <c r="N43" s="33"/>
      <c r="O43" s="33"/>
      <c r="P43" s="33"/>
    </row>
    <row r="44" spans="1:17" s="9" customFormat="1" x14ac:dyDescent="0.25">
      <c r="A44" s="31"/>
      <c r="B44" s="142"/>
      <c r="C44" s="32"/>
      <c r="D44" s="32"/>
      <c r="E44" s="33"/>
      <c r="F44" s="33"/>
      <c r="G44" s="33"/>
      <c r="H44" s="33"/>
      <c r="I44" s="33"/>
      <c r="J44" s="33"/>
      <c r="K44" s="33"/>
      <c r="L44" s="33"/>
      <c r="M44" s="33"/>
      <c r="N44" s="33"/>
      <c r="O44" s="33"/>
      <c r="P44" s="33"/>
    </row>
    <row r="45" spans="1:17" s="9" customFormat="1" x14ac:dyDescent="0.25">
      <c r="A45" s="31"/>
      <c r="B45" s="142"/>
      <c r="C45" s="32"/>
      <c r="D45" s="32"/>
      <c r="E45" s="33"/>
      <c r="F45" s="33"/>
      <c r="G45" s="33"/>
      <c r="H45" s="33"/>
      <c r="I45" s="33"/>
      <c r="J45" s="33"/>
      <c r="K45" s="33"/>
      <c r="L45" s="33"/>
      <c r="M45" s="33"/>
      <c r="N45" s="33"/>
      <c r="O45" s="33"/>
      <c r="P45" s="33"/>
    </row>
    <row r="46" spans="1:17" s="9" customFormat="1" x14ac:dyDescent="0.25">
      <c r="A46" s="31"/>
      <c r="B46" s="142"/>
      <c r="C46" s="32"/>
      <c r="D46" s="32"/>
      <c r="E46" s="33"/>
      <c r="F46" s="33"/>
      <c r="G46" s="33"/>
      <c r="H46" s="33"/>
      <c r="I46" s="33"/>
      <c r="J46" s="33"/>
      <c r="K46" s="33"/>
      <c r="L46" s="33"/>
      <c r="M46" s="33"/>
      <c r="N46" s="33"/>
      <c r="O46" s="33"/>
      <c r="P46" s="33"/>
    </row>
    <row r="47" spans="1:17" s="9" customFormat="1" x14ac:dyDescent="0.25">
      <c r="A47" s="31"/>
      <c r="B47" s="142"/>
      <c r="C47" s="32"/>
      <c r="D47" s="32"/>
      <c r="E47" s="33"/>
      <c r="F47" s="33"/>
      <c r="G47" s="33"/>
      <c r="H47" s="33"/>
      <c r="I47" s="33"/>
      <c r="J47" s="33"/>
      <c r="K47" s="33"/>
      <c r="L47" s="33"/>
      <c r="M47" s="33"/>
      <c r="N47" s="33"/>
      <c r="O47" s="33"/>
      <c r="P47" s="33"/>
    </row>
    <row r="48" spans="1:17" s="9" customFormat="1" x14ac:dyDescent="0.25">
      <c r="A48" s="31"/>
      <c r="B48" s="142"/>
      <c r="C48" s="32"/>
      <c r="D48" s="32"/>
      <c r="E48" s="33"/>
      <c r="F48" s="33"/>
      <c r="G48" s="33"/>
      <c r="H48" s="33"/>
      <c r="I48" s="33"/>
      <c r="J48" s="33"/>
      <c r="K48" s="33"/>
      <c r="L48" s="33"/>
      <c r="M48" s="33"/>
      <c r="N48" s="33"/>
      <c r="O48" s="33"/>
      <c r="P48" s="33"/>
    </row>
    <row r="49" spans="1:16" s="9" customFormat="1" x14ac:dyDescent="0.25">
      <c r="A49" s="31"/>
      <c r="B49" s="142"/>
      <c r="C49" s="32"/>
      <c r="D49" s="32"/>
      <c r="E49" s="33"/>
      <c r="F49" s="33"/>
      <c r="G49" s="33"/>
      <c r="H49" s="33"/>
      <c r="I49" s="33"/>
      <c r="J49" s="33"/>
      <c r="K49" s="33"/>
      <c r="L49" s="33"/>
      <c r="M49" s="33"/>
      <c r="N49" s="33"/>
      <c r="O49" s="33"/>
      <c r="P49" s="33"/>
    </row>
    <row r="50" spans="1:16" s="9" customFormat="1" x14ac:dyDescent="0.25">
      <c r="A50" s="31"/>
      <c r="B50" s="142"/>
      <c r="C50" s="32"/>
      <c r="D50" s="32"/>
      <c r="E50" s="33"/>
      <c r="F50" s="33"/>
      <c r="G50" s="33"/>
      <c r="H50" s="33"/>
      <c r="I50" s="33"/>
      <c r="J50" s="33"/>
      <c r="K50" s="33"/>
      <c r="L50" s="33"/>
      <c r="M50" s="33"/>
      <c r="N50" s="33"/>
      <c r="O50" s="33"/>
      <c r="P50" s="33"/>
    </row>
    <row r="51" spans="1:16" s="9" customFormat="1" x14ac:dyDescent="0.25">
      <c r="A51" s="31"/>
      <c r="B51" s="142"/>
      <c r="C51" s="32"/>
      <c r="D51" s="32"/>
      <c r="E51" s="33"/>
      <c r="F51" s="33"/>
      <c r="G51" s="33"/>
      <c r="H51" s="33"/>
      <c r="I51" s="33"/>
      <c r="J51" s="33"/>
      <c r="K51" s="33"/>
      <c r="L51" s="33"/>
      <c r="M51" s="33"/>
      <c r="N51" s="33"/>
      <c r="O51" s="33"/>
      <c r="P51" s="33"/>
    </row>
    <row r="52" spans="1:16" s="9" customFormat="1" x14ac:dyDescent="0.25">
      <c r="A52" s="31"/>
      <c r="B52" s="142"/>
      <c r="C52" s="32"/>
      <c r="D52" s="32"/>
      <c r="E52" s="33"/>
      <c r="F52" s="33"/>
      <c r="G52" s="33"/>
      <c r="H52" s="33"/>
      <c r="I52" s="33"/>
      <c r="J52" s="33"/>
      <c r="K52" s="33"/>
      <c r="L52" s="33"/>
      <c r="M52" s="33"/>
      <c r="N52" s="33"/>
      <c r="O52" s="33"/>
      <c r="P52" s="33"/>
    </row>
    <row r="53" spans="1:16" s="9" customFormat="1" x14ac:dyDescent="0.25">
      <c r="A53" s="31"/>
      <c r="B53" s="142"/>
      <c r="C53" s="32"/>
      <c r="D53" s="32"/>
      <c r="E53" s="33"/>
      <c r="F53" s="33"/>
      <c r="G53" s="33"/>
      <c r="H53" s="33"/>
      <c r="I53" s="33"/>
      <c r="J53" s="33"/>
      <c r="K53" s="33"/>
      <c r="L53" s="33"/>
      <c r="M53" s="33"/>
      <c r="N53" s="33"/>
      <c r="O53" s="33"/>
      <c r="P53" s="33"/>
    </row>
    <row r="54" spans="1:16" s="9" customFormat="1" x14ac:dyDescent="0.25">
      <c r="A54" s="31"/>
      <c r="B54" s="142"/>
      <c r="C54" s="32"/>
      <c r="D54" s="32"/>
      <c r="E54" s="33"/>
      <c r="F54" s="33"/>
      <c r="G54" s="33"/>
      <c r="H54" s="33"/>
      <c r="I54" s="33"/>
      <c r="J54" s="33"/>
      <c r="K54" s="33"/>
      <c r="L54" s="33"/>
      <c r="M54" s="33"/>
      <c r="N54" s="33"/>
      <c r="O54" s="33"/>
      <c r="P54" s="33"/>
    </row>
    <row r="55" spans="1:16" s="9" customFormat="1" x14ac:dyDescent="0.25">
      <c r="A55" s="31"/>
      <c r="B55" s="142"/>
      <c r="C55" s="32"/>
      <c r="D55" s="32"/>
      <c r="E55" s="33"/>
      <c r="F55" s="33"/>
      <c r="G55" s="33"/>
      <c r="H55" s="33"/>
      <c r="I55" s="33"/>
      <c r="J55" s="33"/>
      <c r="K55" s="33"/>
      <c r="L55" s="33"/>
      <c r="M55" s="33"/>
      <c r="N55" s="33"/>
      <c r="O55" s="33"/>
      <c r="P55" s="33"/>
    </row>
    <row r="56" spans="1:16" s="9" customFormat="1" x14ac:dyDescent="0.25">
      <c r="A56" s="31"/>
      <c r="B56" s="142"/>
      <c r="C56" s="32"/>
      <c r="D56" s="32"/>
      <c r="E56" s="33"/>
      <c r="F56" s="33"/>
      <c r="G56" s="33"/>
      <c r="H56" s="33"/>
      <c r="I56" s="33"/>
      <c r="J56" s="33"/>
      <c r="K56" s="33"/>
      <c r="L56" s="33"/>
      <c r="M56" s="33"/>
      <c r="N56" s="33"/>
      <c r="O56" s="33"/>
      <c r="P56" s="33"/>
    </row>
    <row r="57" spans="1:16" s="9" customFormat="1" x14ac:dyDescent="0.25">
      <c r="A57" s="31"/>
      <c r="B57" s="142"/>
      <c r="C57" s="32"/>
      <c r="D57" s="32"/>
      <c r="E57" s="33"/>
      <c r="F57" s="33"/>
      <c r="G57" s="33"/>
      <c r="H57" s="33"/>
      <c r="I57" s="33"/>
      <c r="J57" s="33"/>
      <c r="K57" s="33"/>
      <c r="L57" s="33"/>
      <c r="M57" s="33"/>
      <c r="N57" s="33"/>
      <c r="O57" s="33"/>
      <c r="P57" s="33"/>
    </row>
    <row r="58" spans="1:16" s="9" customFormat="1" x14ac:dyDescent="0.25">
      <c r="A58" s="31"/>
      <c r="B58" s="142"/>
      <c r="C58" s="32"/>
      <c r="D58" s="32"/>
      <c r="E58" s="33"/>
      <c r="F58" s="33"/>
      <c r="G58" s="33"/>
      <c r="H58" s="33"/>
      <c r="I58" s="33"/>
      <c r="J58" s="33"/>
      <c r="K58" s="33"/>
      <c r="L58" s="33"/>
      <c r="M58" s="33"/>
      <c r="N58" s="33"/>
      <c r="O58" s="33"/>
      <c r="P58" s="33"/>
    </row>
    <row r="59" spans="1:16" s="9" customFormat="1" x14ac:dyDescent="0.25">
      <c r="A59" s="31"/>
      <c r="B59" s="142"/>
      <c r="C59" s="32"/>
      <c r="D59" s="32"/>
      <c r="E59" s="33"/>
      <c r="F59" s="33"/>
      <c r="G59" s="33"/>
      <c r="H59" s="33"/>
      <c r="I59" s="33"/>
      <c r="J59" s="33"/>
      <c r="K59" s="33"/>
      <c r="L59" s="33"/>
      <c r="M59" s="33"/>
      <c r="N59" s="33"/>
      <c r="O59" s="33"/>
      <c r="P59" s="33"/>
    </row>
    <row r="60" spans="1:16" s="9" customFormat="1" x14ac:dyDescent="0.25">
      <c r="A60" s="31"/>
      <c r="B60" s="142"/>
      <c r="C60" s="32"/>
      <c r="D60" s="32"/>
      <c r="E60" s="33"/>
      <c r="F60" s="33"/>
      <c r="G60" s="33"/>
      <c r="H60" s="33"/>
      <c r="I60" s="33"/>
      <c r="J60" s="33"/>
      <c r="K60" s="33"/>
      <c r="L60" s="33"/>
      <c r="M60" s="33"/>
      <c r="N60" s="33"/>
      <c r="O60" s="33"/>
      <c r="P60" s="33"/>
    </row>
    <row r="61" spans="1:16" s="9" customFormat="1" x14ac:dyDescent="0.25">
      <c r="A61" s="31"/>
      <c r="B61" s="142"/>
      <c r="C61" s="32"/>
      <c r="D61" s="32"/>
      <c r="E61" s="33"/>
      <c r="F61" s="33"/>
      <c r="G61" s="33"/>
      <c r="H61" s="33"/>
      <c r="I61" s="33"/>
      <c r="J61" s="33"/>
      <c r="K61" s="33"/>
      <c r="L61" s="33"/>
      <c r="M61" s="33"/>
      <c r="N61" s="33"/>
      <c r="O61" s="33"/>
      <c r="P61" s="33"/>
    </row>
    <row r="62" spans="1:16" s="9" customFormat="1" x14ac:dyDescent="0.25">
      <c r="A62" s="31"/>
      <c r="B62" s="142"/>
      <c r="C62" s="32"/>
      <c r="D62" s="32"/>
      <c r="E62" s="33"/>
      <c r="F62" s="33"/>
      <c r="G62" s="33"/>
      <c r="H62" s="33"/>
      <c r="I62" s="33"/>
      <c r="J62" s="33"/>
      <c r="K62" s="33"/>
      <c r="L62" s="33"/>
      <c r="M62" s="33"/>
      <c r="N62" s="33"/>
      <c r="O62" s="33"/>
      <c r="P62" s="33"/>
    </row>
    <row r="63" spans="1:16" s="9" customFormat="1" x14ac:dyDescent="0.25">
      <c r="A63" s="31"/>
      <c r="B63" s="142"/>
      <c r="C63" s="32"/>
      <c r="D63" s="32"/>
      <c r="E63" s="33"/>
      <c r="F63" s="33"/>
      <c r="G63" s="33"/>
      <c r="H63" s="33"/>
      <c r="I63" s="33"/>
      <c r="J63" s="33"/>
      <c r="K63" s="33"/>
      <c r="L63" s="33"/>
      <c r="M63" s="33"/>
      <c r="N63" s="33"/>
      <c r="O63" s="33"/>
      <c r="P63" s="33"/>
    </row>
    <row r="64" spans="1:16" s="9" customFormat="1" x14ac:dyDescent="0.25">
      <c r="A64" s="31"/>
      <c r="B64" s="142"/>
      <c r="C64" s="32"/>
      <c r="D64" s="32"/>
      <c r="E64" s="33"/>
      <c r="F64" s="33"/>
      <c r="G64" s="33"/>
      <c r="H64" s="33"/>
      <c r="I64" s="33"/>
      <c r="J64" s="33"/>
      <c r="K64" s="33"/>
      <c r="L64" s="33"/>
      <c r="M64" s="33"/>
      <c r="N64" s="33"/>
      <c r="O64" s="33"/>
      <c r="P64" s="33"/>
    </row>
  </sheetData>
  <mergeCells count="18">
    <mergeCell ref="A32:B32"/>
    <mergeCell ref="E32:G32"/>
    <mergeCell ref="E33:G33"/>
    <mergeCell ref="E5:G5"/>
    <mergeCell ref="H5:J5"/>
    <mergeCell ref="E37:G37"/>
    <mergeCell ref="N5:N6"/>
    <mergeCell ref="Q5:Q6"/>
    <mergeCell ref="K5:M5"/>
    <mergeCell ref="O5:O6"/>
    <mergeCell ref="P5:P6"/>
    <mergeCell ref="E2:J2"/>
    <mergeCell ref="E3:J3"/>
    <mergeCell ref="C4:D4"/>
    <mergeCell ref="A5:A6"/>
    <mergeCell ref="B5:B6"/>
    <mergeCell ref="C5:C6"/>
    <mergeCell ref="D5:D6"/>
  </mergeCells>
  <printOptions horizontalCentered="1"/>
  <pageMargins left="0.31" right="0.4" top="0.49" bottom="0.41" header="0.18" footer="0.17"/>
  <pageSetup paperSize="9" scale="85" orientation="landscape" r:id="rId1"/>
  <headerFooter>
    <oddFooter>&amp;CTrang &amp;P/&amp;N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21"/>
  <sheetViews>
    <sheetView zoomScale="85" zoomScaleNormal="85" workbookViewId="0">
      <selection sqref="A1:XFD1048576"/>
    </sheetView>
  </sheetViews>
  <sheetFormatPr defaultColWidth="9.33203125" defaultRowHeight="12.75" x14ac:dyDescent="0.2"/>
  <cols>
    <col min="1" max="1" width="5.1640625" style="145" bestFit="1" customWidth="1"/>
    <col min="2" max="2" width="15.83203125" style="145" customWidth="1"/>
    <col min="3" max="4" width="15.6640625" style="144" bestFit="1" customWidth="1"/>
    <col min="5" max="5" width="14.1640625" style="161" customWidth="1"/>
    <col min="6" max="6" width="12.6640625" style="161" bestFit="1" customWidth="1"/>
    <col min="7" max="8" width="14.5" style="161" bestFit="1" customWidth="1"/>
    <col min="9" max="9" width="12.6640625" style="161" bestFit="1" customWidth="1"/>
    <col min="10" max="10" width="12" style="161" customWidth="1"/>
    <col min="11" max="11" width="12.6640625" style="161" customWidth="1"/>
    <col min="12" max="12" width="6.83203125" style="161" hidden="1" customWidth="1"/>
    <col min="13" max="13" width="12" style="161" customWidth="1"/>
    <col min="14" max="14" width="11.5" style="161" customWidth="1"/>
    <col min="15" max="15" width="12.6640625" style="144" customWidth="1"/>
    <col min="16" max="16" width="12.5" style="144" customWidth="1"/>
    <col min="17" max="17" width="10.6640625" style="144" customWidth="1"/>
    <col min="18" max="18" width="32.5" style="145" customWidth="1"/>
    <col min="19" max="19" width="5.33203125" style="145" customWidth="1"/>
    <col min="20" max="16384" width="9.33203125" style="145"/>
  </cols>
  <sheetData>
    <row r="1" spans="1:19" x14ac:dyDescent="0.2">
      <c r="R1" s="37" t="s">
        <v>94</v>
      </c>
    </row>
    <row r="2" spans="1:19" s="162" customFormat="1" ht="18.75" x14ac:dyDescent="0.2">
      <c r="A2" s="216" t="s">
        <v>102</v>
      </c>
      <c r="B2" s="216"/>
      <c r="C2" s="216"/>
      <c r="D2" s="216"/>
      <c r="E2" s="216"/>
      <c r="F2" s="216"/>
      <c r="G2" s="216"/>
      <c r="H2" s="216"/>
      <c r="I2" s="216"/>
      <c r="J2" s="216"/>
      <c r="K2" s="216"/>
      <c r="L2" s="216"/>
      <c r="M2" s="216"/>
      <c r="N2" s="216"/>
      <c r="O2" s="216"/>
      <c r="P2" s="216"/>
      <c r="Q2" s="216"/>
      <c r="R2" s="216"/>
      <c r="S2" s="216"/>
    </row>
    <row r="3" spans="1:19" s="162" customFormat="1" ht="18.75" x14ac:dyDescent="0.2">
      <c r="A3" s="215" t="s">
        <v>227</v>
      </c>
      <c r="B3" s="215"/>
      <c r="C3" s="215"/>
      <c r="D3" s="215"/>
      <c r="E3" s="215"/>
      <c r="F3" s="215"/>
      <c r="G3" s="215"/>
      <c r="H3" s="215"/>
      <c r="I3" s="215"/>
      <c r="J3" s="215"/>
      <c r="K3" s="215"/>
      <c r="L3" s="215"/>
      <c r="M3" s="215"/>
      <c r="N3" s="215"/>
      <c r="O3" s="215"/>
      <c r="P3" s="215"/>
      <c r="Q3" s="215"/>
      <c r="R3" s="215"/>
      <c r="S3" s="215"/>
    </row>
    <row r="4" spans="1:19" x14ac:dyDescent="0.2">
      <c r="R4" s="163" t="s">
        <v>5</v>
      </c>
    </row>
    <row r="5" spans="1:19" s="147" customFormat="1" x14ac:dyDescent="0.2">
      <c r="A5" s="217" t="s">
        <v>0</v>
      </c>
      <c r="B5" s="217" t="s">
        <v>62</v>
      </c>
      <c r="C5" s="218" t="s">
        <v>19</v>
      </c>
      <c r="D5" s="218" t="s">
        <v>24</v>
      </c>
      <c r="E5" s="219" t="s">
        <v>61</v>
      </c>
      <c r="F5" s="219"/>
      <c r="G5" s="219"/>
      <c r="H5" s="219"/>
      <c r="I5" s="219"/>
      <c r="J5" s="219"/>
      <c r="K5" s="219"/>
      <c r="L5" s="219"/>
      <c r="M5" s="219"/>
      <c r="N5" s="219"/>
      <c r="O5" s="220" t="s">
        <v>38</v>
      </c>
      <c r="P5" s="179" t="s">
        <v>72</v>
      </c>
      <c r="Q5" s="179"/>
      <c r="R5" s="217" t="s">
        <v>67</v>
      </c>
      <c r="S5" s="217" t="s">
        <v>10</v>
      </c>
    </row>
    <row r="6" spans="1:19" s="147" customFormat="1" ht="163.5" customHeight="1" x14ac:dyDescent="0.2">
      <c r="A6" s="217"/>
      <c r="B6" s="217"/>
      <c r="C6" s="218"/>
      <c r="D6" s="218"/>
      <c r="E6" s="180" t="s">
        <v>76</v>
      </c>
      <c r="F6" s="180" t="s">
        <v>39</v>
      </c>
      <c r="G6" s="180" t="s">
        <v>77</v>
      </c>
      <c r="H6" s="180" t="s">
        <v>78</v>
      </c>
      <c r="I6" s="180" t="s">
        <v>79</v>
      </c>
      <c r="J6" s="180" t="s">
        <v>80</v>
      </c>
      <c r="K6" s="180" t="s">
        <v>199</v>
      </c>
      <c r="L6" s="180"/>
      <c r="M6" s="180" t="s">
        <v>82</v>
      </c>
      <c r="N6" s="180" t="s">
        <v>83</v>
      </c>
      <c r="O6" s="220"/>
      <c r="P6" s="180" t="s">
        <v>81</v>
      </c>
      <c r="Q6" s="180" t="s">
        <v>200</v>
      </c>
      <c r="R6" s="217"/>
      <c r="S6" s="217"/>
    </row>
    <row r="7" spans="1:19" s="128" customFormat="1" ht="21" x14ac:dyDescent="0.2">
      <c r="A7" s="5" t="s">
        <v>1</v>
      </c>
      <c r="B7" s="5" t="s">
        <v>2</v>
      </c>
      <c r="C7" s="4" t="s">
        <v>68</v>
      </c>
      <c r="D7" s="164" t="s">
        <v>89</v>
      </c>
      <c r="E7" s="4" t="s">
        <v>9</v>
      </c>
      <c r="F7" s="4" t="s">
        <v>11</v>
      </c>
      <c r="G7" s="4" t="s">
        <v>70</v>
      </c>
      <c r="H7" s="4" t="s">
        <v>84</v>
      </c>
      <c r="I7" s="4" t="s">
        <v>85</v>
      </c>
      <c r="J7" s="4" t="s">
        <v>86</v>
      </c>
      <c r="K7" s="4" t="s">
        <v>87</v>
      </c>
      <c r="L7" s="4" t="s">
        <v>88</v>
      </c>
      <c r="M7" s="4" t="s">
        <v>88</v>
      </c>
      <c r="N7" s="4" t="s">
        <v>224</v>
      </c>
      <c r="O7" s="4" t="s">
        <v>225</v>
      </c>
      <c r="P7" s="4" t="s">
        <v>12</v>
      </c>
      <c r="Q7" s="4" t="s">
        <v>13</v>
      </c>
      <c r="R7" s="5">
        <v>4</v>
      </c>
      <c r="S7" s="5">
        <v>5</v>
      </c>
    </row>
    <row r="8" spans="1:19" s="146" customFormat="1" ht="24.75" customHeight="1" x14ac:dyDescent="0.2">
      <c r="A8" s="165"/>
      <c r="B8" s="166" t="s">
        <v>6</v>
      </c>
      <c r="C8" s="167">
        <f t="shared" ref="C8:Q8" si="0">C9+C11</f>
        <v>1939913874</v>
      </c>
      <c r="D8" s="167">
        <f t="shared" si="0"/>
        <v>1920213874</v>
      </c>
      <c r="E8" s="167">
        <f t="shared" si="0"/>
        <v>30850000</v>
      </c>
      <c r="F8" s="167">
        <f t="shared" si="0"/>
        <v>20000000</v>
      </c>
      <c r="G8" s="167">
        <f t="shared" si="0"/>
        <v>1161263874</v>
      </c>
      <c r="H8" s="167">
        <f t="shared" si="0"/>
        <v>670000000</v>
      </c>
      <c r="I8" s="167">
        <f t="shared" si="0"/>
        <v>29000000</v>
      </c>
      <c r="J8" s="167">
        <f t="shared" si="0"/>
        <v>0</v>
      </c>
      <c r="K8" s="167">
        <f t="shared" si="0"/>
        <v>9100000</v>
      </c>
      <c r="L8" s="167">
        <f t="shared" si="0"/>
        <v>0</v>
      </c>
      <c r="M8" s="167">
        <f t="shared" si="0"/>
        <v>0</v>
      </c>
      <c r="N8" s="167">
        <f t="shared" si="0"/>
        <v>0</v>
      </c>
      <c r="O8" s="167">
        <f>O9+O11</f>
        <v>19700000</v>
      </c>
      <c r="P8" s="167">
        <f t="shared" si="0"/>
        <v>19000000</v>
      </c>
      <c r="Q8" s="167">
        <f t="shared" si="0"/>
        <v>700000</v>
      </c>
      <c r="R8" s="165"/>
      <c r="S8" s="165"/>
    </row>
    <row r="9" spans="1:19" s="147" customFormat="1" ht="47.25" customHeight="1" x14ac:dyDescent="0.2">
      <c r="A9" s="181" t="s">
        <v>3</v>
      </c>
      <c r="B9" s="182" t="s">
        <v>103</v>
      </c>
      <c r="C9" s="183">
        <f>C10</f>
        <v>213519512</v>
      </c>
      <c r="D9" s="183">
        <f t="shared" ref="D9:P9" si="1">D10</f>
        <v>213519512</v>
      </c>
      <c r="E9" s="183">
        <f t="shared" si="1"/>
        <v>11150000</v>
      </c>
      <c r="F9" s="183">
        <f t="shared" si="1"/>
        <v>0</v>
      </c>
      <c r="G9" s="183">
        <f t="shared" si="1"/>
        <v>52369512</v>
      </c>
      <c r="H9" s="183">
        <f t="shared" si="1"/>
        <v>150000000</v>
      </c>
      <c r="I9" s="183">
        <f t="shared" si="1"/>
        <v>0</v>
      </c>
      <c r="J9" s="183">
        <f t="shared" si="1"/>
        <v>0</v>
      </c>
      <c r="K9" s="183"/>
      <c r="L9" s="183"/>
      <c r="M9" s="183">
        <f t="shared" si="1"/>
        <v>0</v>
      </c>
      <c r="N9" s="183">
        <f t="shared" si="1"/>
        <v>0</v>
      </c>
      <c r="O9" s="183">
        <f>O10</f>
        <v>0</v>
      </c>
      <c r="P9" s="183">
        <f t="shared" si="1"/>
        <v>0</v>
      </c>
      <c r="Q9" s="183"/>
      <c r="R9" s="182"/>
      <c r="S9" s="181"/>
    </row>
    <row r="10" spans="1:19" s="38" customFormat="1" ht="41.25" customHeight="1" x14ac:dyDescent="0.2">
      <c r="A10" s="168"/>
      <c r="B10" s="168" t="s">
        <v>104</v>
      </c>
      <c r="C10" s="127">
        <f>D10+O10</f>
        <v>213519512</v>
      </c>
      <c r="D10" s="127">
        <f>SUM(E10:N10)</f>
        <v>213519512</v>
      </c>
      <c r="E10" s="127">
        <v>11150000</v>
      </c>
      <c r="F10" s="127"/>
      <c r="G10" s="127">
        <v>52369512</v>
      </c>
      <c r="H10" s="127">
        <v>150000000</v>
      </c>
      <c r="I10" s="127"/>
      <c r="J10" s="127"/>
      <c r="K10" s="127"/>
      <c r="L10" s="127"/>
      <c r="M10" s="127"/>
      <c r="N10" s="127"/>
      <c r="O10" s="127">
        <f>SUM(P10:Q10)</f>
        <v>0</v>
      </c>
      <c r="P10" s="127"/>
      <c r="Q10" s="184"/>
      <c r="R10" s="185" t="s">
        <v>90</v>
      </c>
      <c r="S10" s="186"/>
    </row>
    <row r="11" spans="1:19" s="147" customFormat="1" ht="17.45" customHeight="1" x14ac:dyDescent="0.2">
      <c r="A11" s="181" t="s">
        <v>4</v>
      </c>
      <c r="B11" s="181" t="s">
        <v>105</v>
      </c>
      <c r="C11" s="183">
        <f>SUM(C12:C13)</f>
        <v>1726394362</v>
      </c>
      <c r="D11" s="183">
        <f t="shared" ref="D11:Q11" si="2">SUM(D12:D13)</f>
        <v>1706694362</v>
      </c>
      <c r="E11" s="183">
        <f>SUM(E12:E13)</f>
        <v>19700000</v>
      </c>
      <c r="F11" s="183">
        <f t="shared" si="2"/>
        <v>20000000</v>
      </c>
      <c r="G11" s="183">
        <f t="shared" si="2"/>
        <v>1108894362</v>
      </c>
      <c r="H11" s="183">
        <f t="shared" si="2"/>
        <v>520000000</v>
      </c>
      <c r="I11" s="183">
        <f t="shared" si="2"/>
        <v>29000000</v>
      </c>
      <c r="J11" s="183">
        <f t="shared" si="2"/>
        <v>0</v>
      </c>
      <c r="K11" s="183">
        <f t="shared" si="2"/>
        <v>9100000</v>
      </c>
      <c r="L11" s="183">
        <f t="shared" si="2"/>
        <v>0</v>
      </c>
      <c r="M11" s="183">
        <f t="shared" si="2"/>
        <v>0</v>
      </c>
      <c r="N11" s="183">
        <f t="shared" si="2"/>
        <v>0</v>
      </c>
      <c r="O11" s="183">
        <f>SUM(O12:O13)</f>
        <v>19700000</v>
      </c>
      <c r="P11" s="183">
        <f t="shared" si="2"/>
        <v>19000000</v>
      </c>
      <c r="Q11" s="183">
        <f t="shared" si="2"/>
        <v>700000</v>
      </c>
      <c r="R11" s="182"/>
      <c r="S11" s="181"/>
    </row>
    <row r="12" spans="1:19" s="38" customFormat="1" ht="44.85" customHeight="1" x14ac:dyDescent="0.2">
      <c r="A12" s="168">
        <v>1</v>
      </c>
      <c r="B12" s="168" t="s">
        <v>63</v>
      </c>
      <c r="C12" s="127">
        <f>D12+O12</f>
        <v>1009690976</v>
      </c>
      <c r="D12" s="127">
        <f>SUM(E12:N12)</f>
        <v>1009190976</v>
      </c>
      <c r="E12" s="127">
        <v>11500000</v>
      </c>
      <c r="F12" s="127"/>
      <c r="G12" s="127">
        <v>821190976</v>
      </c>
      <c r="H12" s="127">
        <v>170000000</v>
      </c>
      <c r="I12" s="127"/>
      <c r="J12" s="127"/>
      <c r="K12" s="127">
        <v>6500000</v>
      </c>
      <c r="L12" s="127"/>
      <c r="M12" s="127"/>
      <c r="N12" s="127"/>
      <c r="O12" s="127">
        <f t="shared" ref="O12" si="3">SUM(P12:Q12)</f>
        <v>500000</v>
      </c>
      <c r="P12" s="127"/>
      <c r="Q12" s="127">
        <v>500000</v>
      </c>
      <c r="R12" s="170" t="s">
        <v>197</v>
      </c>
      <c r="S12" s="170"/>
    </row>
    <row r="13" spans="1:19" s="38" customFormat="1" ht="79.5" customHeight="1" x14ac:dyDescent="0.2">
      <c r="A13" s="168">
        <v>2</v>
      </c>
      <c r="B13" s="168" t="s">
        <v>64</v>
      </c>
      <c r="C13" s="127">
        <f>D13+O13</f>
        <v>716703386</v>
      </c>
      <c r="D13" s="127">
        <f>SUM(E13:N13)</f>
        <v>697503386</v>
      </c>
      <c r="E13" s="127">
        <v>8200000</v>
      </c>
      <c r="F13" s="127">
        <v>20000000</v>
      </c>
      <c r="G13" s="127">
        <v>287703386</v>
      </c>
      <c r="H13" s="127">
        <v>350000000</v>
      </c>
      <c r="I13" s="127">
        <v>29000000</v>
      </c>
      <c r="J13" s="127"/>
      <c r="K13" s="127">
        <v>2600000</v>
      </c>
      <c r="L13" s="127"/>
      <c r="M13" s="127"/>
      <c r="N13" s="127"/>
      <c r="O13" s="127">
        <f>SUM(P13:Q13)</f>
        <v>19200000</v>
      </c>
      <c r="P13" s="127">
        <v>19000000</v>
      </c>
      <c r="Q13" s="127">
        <v>200000</v>
      </c>
      <c r="R13" s="170" t="s">
        <v>198</v>
      </c>
      <c r="S13" s="170"/>
    </row>
    <row r="14" spans="1:19" s="38" customFormat="1" x14ac:dyDescent="0.2">
      <c r="A14" s="168">
        <v>3</v>
      </c>
      <c r="B14" s="168" t="s">
        <v>109</v>
      </c>
      <c r="C14" s="127">
        <f t="shared" ref="C14" si="4">D14+O14</f>
        <v>0</v>
      </c>
      <c r="D14" s="127">
        <f t="shared" ref="D14" si="5">SUM(E14:N14)</f>
        <v>0</v>
      </c>
      <c r="E14" s="127"/>
      <c r="F14" s="127"/>
      <c r="G14" s="127"/>
      <c r="H14" s="127"/>
      <c r="I14" s="127"/>
      <c r="J14" s="127"/>
      <c r="K14" s="127"/>
      <c r="L14" s="127"/>
      <c r="M14" s="127"/>
      <c r="N14" s="127"/>
      <c r="O14" s="127">
        <f>SUM(P14:Q14)</f>
        <v>0</v>
      </c>
      <c r="P14" s="127"/>
      <c r="Q14" s="127"/>
      <c r="R14" s="169"/>
      <c r="S14" s="170"/>
    </row>
    <row r="15" spans="1:19" s="146" customFormat="1" x14ac:dyDescent="0.2">
      <c r="A15" s="165"/>
      <c r="B15" s="165" t="s">
        <v>73</v>
      </c>
      <c r="C15" s="167">
        <f>IF(C8=(C16+C19),(C16+C19),0)</f>
        <v>1939913874</v>
      </c>
      <c r="D15" s="167">
        <f t="shared" ref="D15:P15" si="6">IF(D8=(D16+D19),(D16+D19),0)</f>
        <v>1920213874</v>
      </c>
      <c r="E15" s="167">
        <f>IF(E8=(E16+E19),(E16+E19),0)</f>
        <v>30850000</v>
      </c>
      <c r="F15" s="167">
        <f t="shared" si="6"/>
        <v>20000000</v>
      </c>
      <c r="G15" s="167">
        <f t="shared" si="6"/>
        <v>1161263874</v>
      </c>
      <c r="H15" s="167">
        <f t="shared" si="6"/>
        <v>670000000</v>
      </c>
      <c r="I15" s="167">
        <f t="shared" si="6"/>
        <v>29000000</v>
      </c>
      <c r="J15" s="167">
        <f t="shared" si="6"/>
        <v>0</v>
      </c>
      <c r="K15" s="167"/>
      <c r="L15" s="167"/>
      <c r="M15" s="167">
        <f t="shared" si="6"/>
        <v>0</v>
      </c>
      <c r="N15" s="167">
        <f t="shared" si="6"/>
        <v>0</v>
      </c>
      <c r="O15" s="167">
        <f t="shared" si="6"/>
        <v>19700000</v>
      </c>
      <c r="P15" s="167">
        <f t="shared" si="6"/>
        <v>19000000</v>
      </c>
      <c r="Q15" s="167">
        <f>IF(Q8=(Q16+Q19),(Q16+Q19),0)</f>
        <v>700000</v>
      </c>
      <c r="R15" s="165"/>
      <c r="S15" s="165"/>
    </row>
    <row r="16" spans="1:19" s="147" customFormat="1" ht="48.75" customHeight="1" x14ac:dyDescent="0.2">
      <c r="A16" s="181">
        <v>1</v>
      </c>
      <c r="B16" s="182" t="s">
        <v>106</v>
      </c>
      <c r="C16" s="183">
        <f t="shared" ref="C16:P16" si="7">SUM(C17:C18)</f>
        <v>1939913874</v>
      </c>
      <c r="D16" s="183">
        <f t="shared" si="7"/>
        <v>1920213874</v>
      </c>
      <c r="E16" s="183">
        <f t="shared" si="7"/>
        <v>30850000</v>
      </c>
      <c r="F16" s="183">
        <f t="shared" si="7"/>
        <v>20000000</v>
      </c>
      <c r="G16" s="183">
        <f t="shared" si="7"/>
        <v>1161263874</v>
      </c>
      <c r="H16" s="183">
        <f t="shared" si="7"/>
        <v>670000000</v>
      </c>
      <c r="I16" s="183">
        <f t="shared" si="7"/>
        <v>29000000</v>
      </c>
      <c r="J16" s="183">
        <f t="shared" si="7"/>
        <v>0</v>
      </c>
      <c r="K16" s="183">
        <f t="shared" si="7"/>
        <v>9100000</v>
      </c>
      <c r="L16" s="183">
        <f t="shared" si="7"/>
        <v>0</v>
      </c>
      <c r="M16" s="183">
        <f t="shared" si="7"/>
        <v>0</v>
      </c>
      <c r="N16" s="183">
        <f t="shared" si="7"/>
        <v>0</v>
      </c>
      <c r="O16" s="183">
        <f t="shared" si="7"/>
        <v>19700000</v>
      </c>
      <c r="P16" s="183">
        <f t="shared" si="7"/>
        <v>19000000</v>
      </c>
      <c r="Q16" s="183">
        <f>SUM(Q17:Q18)</f>
        <v>700000</v>
      </c>
      <c r="R16" s="181"/>
      <c r="S16" s="181"/>
    </row>
    <row r="17" spans="1:19" s="38" customFormat="1" ht="32.25" customHeight="1" x14ac:dyDescent="0.2">
      <c r="A17" s="168" t="s">
        <v>7</v>
      </c>
      <c r="B17" s="169" t="s">
        <v>75</v>
      </c>
      <c r="C17" s="127">
        <f>D17+O17</f>
        <v>213519512</v>
      </c>
      <c r="D17" s="127">
        <f>SUM(E17:N17)</f>
        <v>213519512</v>
      </c>
      <c r="E17" s="127">
        <f t="shared" ref="E17:N18" si="8">E10</f>
        <v>11150000</v>
      </c>
      <c r="F17" s="127">
        <f t="shared" si="8"/>
        <v>0</v>
      </c>
      <c r="G17" s="127">
        <f t="shared" si="8"/>
        <v>52369512</v>
      </c>
      <c r="H17" s="127">
        <f t="shared" si="8"/>
        <v>150000000</v>
      </c>
      <c r="I17" s="127">
        <f>I10</f>
        <v>0</v>
      </c>
      <c r="J17" s="127">
        <f t="shared" si="8"/>
        <v>0</v>
      </c>
      <c r="K17" s="127"/>
      <c r="L17" s="127"/>
      <c r="M17" s="127">
        <f t="shared" si="8"/>
        <v>0</v>
      </c>
      <c r="N17" s="127">
        <f t="shared" si="8"/>
        <v>0</v>
      </c>
      <c r="O17" s="127">
        <f>SUM(P17:Q17)</f>
        <v>0</v>
      </c>
      <c r="P17" s="127">
        <f>P10</f>
        <v>0</v>
      </c>
      <c r="Q17" s="127"/>
      <c r="R17" s="169"/>
      <c r="S17" s="168"/>
    </row>
    <row r="18" spans="1:19" s="38" customFormat="1" ht="26.25" customHeight="1" x14ac:dyDescent="0.2">
      <c r="A18" s="168" t="s">
        <v>8</v>
      </c>
      <c r="B18" s="169" t="s">
        <v>107</v>
      </c>
      <c r="C18" s="127">
        <f>D18+O18</f>
        <v>1726394362</v>
      </c>
      <c r="D18" s="127">
        <f>SUM(E18:N18)</f>
        <v>1706694362</v>
      </c>
      <c r="E18" s="127">
        <f t="shared" ref="E18" si="9">SUM(E12:E13)</f>
        <v>19700000</v>
      </c>
      <c r="F18" s="127">
        <f>F11</f>
        <v>20000000</v>
      </c>
      <c r="G18" s="127">
        <f t="shared" si="8"/>
        <v>1108894362</v>
      </c>
      <c r="H18" s="127">
        <f t="shared" si="8"/>
        <v>520000000</v>
      </c>
      <c r="I18" s="127">
        <f>I11</f>
        <v>29000000</v>
      </c>
      <c r="J18" s="127">
        <f t="shared" ref="J18:Q18" si="10">J11</f>
        <v>0</v>
      </c>
      <c r="K18" s="127">
        <f t="shared" si="10"/>
        <v>9100000</v>
      </c>
      <c r="L18" s="127">
        <f t="shared" si="10"/>
        <v>0</v>
      </c>
      <c r="M18" s="127">
        <f t="shared" si="10"/>
        <v>0</v>
      </c>
      <c r="N18" s="127">
        <f t="shared" si="10"/>
        <v>0</v>
      </c>
      <c r="O18" s="127">
        <f t="shared" si="10"/>
        <v>19700000</v>
      </c>
      <c r="P18" s="127">
        <f t="shared" si="10"/>
        <v>19000000</v>
      </c>
      <c r="Q18" s="127">
        <f t="shared" si="10"/>
        <v>700000</v>
      </c>
      <c r="R18" s="169"/>
      <c r="S18" s="168"/>
    </row>
    <row r="19" spans="1:19" s="147" customFormat="1" ht="34.5" customHeight="1" x14ac:dyDescent="0.2">
      <c r="A19" s="181">
        <v>2</v>
      </c>
      <c r="B19" s="182" t="s">
        <v>108</v>
      </c>
      <c r="C19" s="187">
        <f>D19+O19</f>
        <v>0</v>
      </c>
      <c r="D19" s="187">
        <f>SUM(E19:N19)</f>
        <v>0</v>
      </c>
      <c r="E19" s="187">
        <f>E14</f>
        <v>0</v>
      </c>
      <c r="F19" s="187">
        <f t="shared" ref="F19:N19" si="11">F14</f>
        <v>0</v>
      </c>
      <c r="G19" s="187">
        <f t="shared" si="11"/>
        <v>0</v>
      </c>
      <c r="H19" s="187">
        <f t="shared" si="11"/>
        <v>0</v>
      </c>
      <c r="I19" s="187">
        <f t="shared" si="11"/>
        <v>0</v>
      </c>
      <c r="J19" s="187">
        <f t="shared" si="11"/>
        <v>0</v>
      </c>
      <c r="K19" s="187"/>
      <c r="L19" s="187"/>
      <c r="M19" s="187">
        <f t="shared" si="11"/>
        <v>0</v>
      </c>
      <c r="N19" s="187">
        <f t="shared" si="11"/>
        <v>0</v>
      </c>
      <c r="O19" s="187">
        <f>SUM(P19:Q19)</f>
        <v>0</v>
      </c>
      <c r="P19" s="187">
        <f>P14</f>
        <v>0</v>
      </c>
      <c r="Q19" s="187"/>
      <c r="R19" s="181"/>
      <c r="S19" s="181"/>
    </row>
    <row r="20" spans="1:19" x14ac:dyDescent="0.2">
      <c r="A20" s="171"/>
      <c r="B20" s="171"/>
      <c r="C20" s="172"/>
      <c r="D20" s="172"/>
      <c r="E20" s="173"/>
      <c r="F20" s="173"/>
      <c r="G20" s="173"/>
      <c r="H20" s="173"/>
      <c r="I20" s="173"/>
      <c r="J20" s="173"/>
      <c r="K20" s="173"/>
      <c r="L20" s="173"/>
      <c r="M20" s="173"/>
      <c r="N20" s="173"/>
      <c r="O20" s="172"/>
      <c r="P20" s="172"/>
      <c r="Q20" s="172"/>
      <c r="R20" s="171"/>
      <c r="S20" s="171"/>
    </row>
    <row r="21" spans="1:19" x14ac:dyDescent="0.2">
      <c r="C21" s="144">
        <f>C8-C15</f>
        <v>0</v>
      </c>
    </row>
  </sheetData>
  <mergeCells count="10">
    <mergeCell ref="A3:S3"/>
    <mergeCell ref="A2:S2"/>
    <mergeCell ref="A5:A6"/>
    <mergeCell ref="B5:B6"/>
    <mergeCell ref="C5:C6"/>
    <mergeCell ref="D5:D6"/>
    <mergeCell ref="E5:N5"/>
    <mergeCell ref="O5:O6"/>
    <mergeCell ref="R5:R6"/>
    <mergeCell ref="S5:S6"/>
  </mergeCells>
  <printOptions horizontalCentered="1"/>
  <pageMargins left="0.41" right="0.34" top="0.48" bottom="0.5" header="0.17" footer="0.17"/>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9"/>
  <sheetViews>
    <sheetView tabSelected="1" workbookViewId="0">
      <selection activeCell="I16" sqref="I16"/>
    </sheetView>
  </sheetViews>
  <sheetFormatPr defaultColWidth="9.33203125" defaultRowHeight="12.75" x14ac:dyDescent="0.2"/>
  <cols>
    <col min="1" max="1" width="5.1640625" style="145" bestFit="1" customWidth="1"/>
    <col min="2" max="2" width="18.1640625" style="145" customWidth="1"/>
    <col min="3" max="4" width="15.6640625" style="144" bestFit="1" customWidth="1"/>
    <col min="5" max="5" width="15.6640625" style="161" bestFit="1" customWidth="1"/>
    <col min="6" max="7" width="12.6640625" style="161" bestFit="1" customWidth="1"/>
    <col min="8" max="9" width="14.5" style="144" bestFit="1" customWidth="1"/>
    <col min="10" max="10" width="26.33203125" style="145" customWidth="1"/>
    <col min="11" max="11" width="37.5" style="145" customWidth="1"/>
    <col min="12" max="12" width="10.1640625" style="145" bestFit="1" customWidth="1"/>
    <col min="13" max="13" width="9.33203125" style="145"/>
    <col min="14" max="14" width="10.1640625" style="145" bestFit="1" customWidth="1"/>
    <col min="15" max="16384" width="9.33203125" style="145"/>
  </cols>
  <sheetData>
    <row r="1" spans="1:14" x14ac:dyDescent="0.2">
      <c r="K1" s="37" t="s">
        <v>93</v>
      </c>
    </row>
    <row r="2" spans="1:14" s="162" customFormat="1" ht="18.75" x14ac:dyDescent="0.2">
      <c r="A2" s="216" t="s">
        <v>110</v>
      </c>
      <c r="B2" s="216"/>
      <c r="C2" s="216"/>
      <c r="D2" s="216"/>
      <c r="E2" s="216"/>
      <c r="F2" s="216"/>
      <c r="G2" s="216"/>
      <c r="H2" s="216"/>
      <c r="I2" s="216"/>
      <c r="J2" s="216"/>
      <c r="K2" s="216"/>
    </row>
    <row r="3" spans="1:14" s="162" customFormat="1" ht="18.75" x14ac:dyDescent="0.2">
      <c r="A3" s="215" t="s">
        <v>227</v>
      </c>
      <c r="B3" s="215"/>
      <c r="C3" s="215"/>
      <c r="D3" s="215"/>
      <c r="E3" s="215"/>
      <c r="F3" s="215"/>
      <c r="G3" s="215"/>
      <c r="H3" s="215"/>
      <c r="I3" s="215"/>
      <c r="J3" s="215"/>
      <c r="K3" s="215"/>
    </row>
    <row r="4" spans="1:14" x14ac:dyDescent="0.2">
      <c r="J4" s="163" t="s">
        <v>5</v>
      </c>
    </row>
    <row r="5" spans="1:14" s="147" customFormat="1" x14ac:dyDescent="0.2">
      <c r="A5" s="217" t="s">
        <v>0</v>
      </c>
      <c r="B5" s="217" t="s">
        <v>62</v>
      </c>
      <c r="C5" s="218" t="s">
        <v>19</v>
      </c>
      <c r="D5" s="218" t="s">
        <v>24</v>
      </c>
      <c r="E5" s="219" t="s">
        <v>61</v>
      </c>
      <c r="F5" s="219"/>
      <c r="G5" s="219"/>
      <c r="H5" s="220" t="s">
        <v>38</v>
      </c>
      <c r="I5" s="3" t="s">
        <v>72</v>
      </c>
      <c r="J5" s="217" t="s">
        <v>67</v>
      </c>
      <c r="K5" s="217" t="s">
        <v>10</v>
      </c>
    </row>
    <row r="6" spans="1:14" s="147" customFormat="1" ht="32.25" customHeight="1" x14ac:dyDescent="0.2">
      <c r="A6" s="217"/>
      <c r="B6" s="217"/>
      <c r="C6" s="218"/>
      <c r="D6" s="218"/>
      <c r="E6" s="3" t="s">
        <v>52</v>
      </c>
      <c r="F6" s="3" t="s">
        <v>54</v>
      </c>
      <c r="G6" s="3" t="s">
        <v>56</v>
      </c>
      <c r="H6" s="220"/>
      <c r="I6" s="3" t="s">
        <v>58</v>
      </c>
      <c r="J6" s="217"/>
      <c r="K6" s="217"/>
    </row>
    <row r="7" spans="1:14" s="128" customFormat="1" ht="10.5" x14ac:dyDescent="0.2">
      <c r="A7" s="5" t="s">
        <v>1</v>
      </c>
      <c r="B7" s="5" t="s">
        <v>2</v>
      </c>
      <c r="C7" s="4" t="s">
        <v>68</v>
      </c>
      <c r="D7" s="164" t="s">
        <v>69</v>
      </c>
      <c r="E7" s="4" t="s">
        <v>9</v>
      </c>
      <c r="F7" s="4" t="s">
        <v>11</v>
      </c>
      <c r="G7" s="4" t="s">
        <v>70</v>
      </c>
      <c r="H7" s="4" t="s">
        <v>71</v>
      </c>
      <c r="I7" s="4" t="s">
        <v>12</v>
      </c>
      <c r="J7" s="5">
        <v>4</v>
      </c>
      <c r="K7" s="5">
        <v>5</v>
      </c>
    </row>
    <row r="8" spans="1:14" s="146" customFormat="1" ht="20.25" customHeight="1" x14ac:dyDescent="0.2">
      <c r="A8" s="165"/>
      <c r="B8" s="166" t="s">
        <v>6</v>
      </c>
      <c r="C8" s="167">
        <f>C9+C11</f>
        <v>3018499500</v>
      </c>
      <c r="D8" s="167">
        <f t="shared" ref="D8:I8" si="0">D9+D11</f>
        <v>2255122000</v>
      </c>
      <c r="E8" s="167">
        <f t="shared" si="0"/>
        <v>2025166000</v>
      </c>
      <c r="F8" s="167">
        <f t="shared" si="0"/>
        <v>91738000</v>
      </c>
      <c r="G8" s="167">
        <f t="shared" si="0"/>
        <v>138218000</v>
      </c>
      <c r="H8" s="167">
        <f t="shared" si="0"/>
        <v>763377500</v>
      </c>
      <c r="I8" s="167">
        <f t="shared" si="0"/>
        <v>763377500</v>
      </c>
      <c r="J8" s="165"/>
      <c r="K8" s="165"/>
    </row>
    <row r="9" spans="1:14" s="146" customFormat="1" ht="41.25" customHeight="1" x14ac:dyDescent="0.2">
      <c r="A9" s="165" t="s">
        <v>3</v>
      </c>
      <c r="B9" s="166" t="s">
        <v>103</v>
      </c>
      <c r="C9" s="167">
        <f>C10</f>
        <v>1173179000</v>
      </c>
      <c r="D9" s="167">
        <f t="shared" ref="D9:I9" si="1">D10</f>
        <v>883157000</v>
      </c>
      <c r="E9" s="167">
        <f t="shared" si="1"/>
        <v>786373000</v>
      </c>
      <c r="F9" s="167">
        <f t="shared" si="1"/>
        <v>39544000</v>
      </c>
      <c r="G9" s="167">
        <f t="shared" si="1"/>
        <v>57240000</v>
      </c>
      <c r="H9" s="167">
        <f t="shared" si="1"/>
        <v>290022000</v>
      </c>
      <c r="I9" s="167">
        <f t="shared" si="1"/>
        <v>290022000</v>
      </c>
      <c r="J9" s="165"/>
      <c r="K9" s="165"/>
    </row>
    <row r="10" spans="1:14" s="38" customFormat="1" ht="144" customHeight="1" x14ac:dyDescent="0.2">
      <c r="A10" s="168">
        <v>1</v>
      </c>
      <c r="B10" s="168" t="s">
        <v>66</v>
      </c>
      <c r="C10" s="127">
        <f>D10+H10</f>
        <v>1173179000</v>
      </c>
      <c r="D10" s="127">
        <f>SUM(E10:G10)</f>
        <v>883157000</v>
      </c>
      <c r="E10" s="127">
        <v>786373000</v>
      </c>
      <c r="F10" s="127">
        <v>39544000</v>
      </c>
      <c r="G10" s="127">
        <v>57240000</v>
      </c>
      <c r="H10" s="127">
        <f>I10</f>
        <v>290022000</v>
      </c>
      <c r="I10" s="127">
        <v>290022000</v>
      </c>
      <c r="J10" s="169" t="s">
        <v>74</v>
      </c>
      <c r="K10" s="169" t="s">
        <v>222</v>
      </c>
    </row>
    <row r="11" spans="1:14" s="146" customFormat="1" ht="25.5" customHeight="1" x14ac:dyDescent="0.2">
      <c r="A11" s="165" t="s">
        <v>4</v>
      </c>
      <c r="B11" s="166" t="s">
        <v>105</v>
      </c>
      <c r="C11" s="167">
        <f>SUM(C12:C14)</f>
        <v>1845320500</v>
      </c>
      <c r="D11" s="167">
        <f t="shared" ref="D11:I11" si="2">SUM(D12:D14)</f>
        <v>1371965000</v>
      </c>
      <c r="E11" s="167">
        <f t="shared" si="2"/>
        <v>1238793000</v>
      </c>
      <c r="F11" s="167">
        <f t="shared" si="2"/>
        <v>52194000</v>
      </c>
      <c r="G11" s="167">
        <f t="shared" si="2"/>
        <v>80978000</v>
      </c>
      <c r="H11" s="167">
        <f t="shared" si="2"/>
        <v>473355500</v>
      </c>
      <c r="I11" s="167">
        <f t="shared" si="2"/>
        <v>473355500</v>
      </c>
      <c r="J11" s="165"/>
      <c r="K11" s="165"/>
    </row>
    <row r="12" spans="1:14" s="38" customFormat="1" ht="189" customHeight="1" x14ac:dyDescent="0.2">
      <c r="A12" s="168">
        <v>1</v>
      </c>
      <c r="B12" s="168" t="s">
        <v>63</v>
      </c>
      <c r="C12" s="127">
        <f>D12+H12</f>
        <v>1128182500</v>
      </c>
      <c r="D12" s="127">
        <f>SUM(E12:G12)</f>
        <v>859707000</v>
      </c>
      <c r="E12" s="127">
        <v>768753000</v>
      </c>
      <c r="F12" s="127">
        <v>34150000</v>
      </c>
      <c r="G12" s="127">
        <v>56804000</v>
      </c>
      <c r="H12" s="127">
        <f>I12</f>
        <v>268475500</v>
      </c>
      <c r="I12" s="127">
        <v>268475500</v>
      </c>
      <c r="J12" s="169" t="s">
        <v>220</v>
      </c>
      <c r="K12" s="169" t="s">
        <v>223</v>
      </c>
      <c r="M12" s="148"/>
      <c r="N12" s="148"/>
    </row>
    <row r="13" spans="1:14" s="38" customFormat="1" ht="25.5" x14ac:dyDescent="0.2">
      <c r="A13" s="168">
        <v>2</v>
      </c>
      <c r="B13" s="168" t="s">
        <v>64</v>
      </c>
      <c r="C13" s="127">
        <f t="shared" ref="C13:C14" si="3">D13+H13</f>
        <v>717138000</v>
      </c>
      <c r="D13" s="127">
        <f t="shared" ref="D13:D14" si="4">SUM(E13:G13)</f>
        <v>512258000</v>
      </c>
      <c r="E13" s="127">
        <v>470040000</v>
      </c>
      <c r="F13" s="127">
        <v>18044000</v>
      </c>
      <c r="G13" s="127">
        <v>24174000</v>
      </c>
      <c r="H13" s="127">
        <f t="shared" ref="H13:H17" si="5">I13</f>
        <v>204880000</v>
      </c>
      <c r="I13" s="127">
        <v>204880000</v>
      </c>
      <c r="J13" s="169" t="s">
        <v>221</v>
      </c>
      <c r="K13" s="170"/>
    </row>
    <row r="14" spans="1:14" s="38" customFormat="1" hidden="1" x14ac:dyDescent="0.2">
      <c r="A14" s="168">
        <v>3</v>
      </c>
      <c r="B14" s="168" t="s">
        <v>65</v>
      </c>
      <c r="C14" s="127">
        <f t="shared" si="3"/>
        <v>0</v>
      </c>
      <c r="D14" s="127">
        <f t="shared" si="4"/>
        <v>0</v>
      </c>
      <c r="E14" s="127"/>
      <c r="F14" s="127"/>
      <c r="G14" s="127"/>
      <c r="H14" s="127">
        <f t="shared" si="5"/>
        <v>0</v>
      </c>
      <c r="I14" s="127"/>
      <c r="J14" s="169"/>
      <c r="K14" s="168"/>
    </row>
    <row r="15" spans="1:14" s="146" customFormat="1" ht="21.75" customHeight="1" x14ac:dyDescent="0.2">
      <c r="A15" s="165"/>
      <c r="B15" s="165" t="s">
        <v>73</v>
      </c>
      <c r="C15" s="167">
        <f>C16+C17</f>
        <v>3018499500</v>
      </c>
      <c r="D15" s="167">
        <f t="shared" ref="D15:H15" si="6">D16+D17</f>
        <v>2255122000</v>
      </c>
      <c r="E15" s="167">
        <f t="shared" si="6"/>
        <v>2025166000</v>
      </c>
      <c r="F15" s="167">
        <f t="shared" si="6"/>
        <v>91738000</v>
      </c>
      <c r="G15" s="167">
        <f>G16+G17</f>
        <v>138218000</v>
      </c>
      <c r="H15" s="167">
        <f t="shared" si="6"/>
        <v>763377500</v>
      </c>
      <c r="I15" s="167">
        <f>I16+I17</f>
        <v>763377500</v>
      </c>
      <c r="J15" s="165"/>
      <c r="K15" s="165"/>
    </row>
    <row r="16" spans="1:14" s="38" customFormat="1" ht="38.25" x14ac:dyDescent="0.2">
      <c r="A16" s="168">
        <v>1</v>
      </c>
      <c r="B16" s="169" t="s">
        <v>106</v>
      </c>
      <c r="C16" s="127">
        <f t="shared" ref="C16:C17" si="7">D16+H16</f>
        <v>2301361500</v>
      </c>
      <c r="D16" s="127">
        <f>D10+D12</f>
        <v>1742864000</v>
      </c>
      <c r="E16" s="127">
        <f t="shared" ref="E16:F16" si="8">E10+E12</f>
        <v>1555126000</v>
      </c>
      <c r="F16" s="127">
        <f t="shared" si="8"/>
        <v>73694000</v>
      </c>
      <c r="G16" s="127">
        <f>G10+G12</f>
        <v>114044000</v>
      </c>
      <c r="H16" s="127">
        <f>I16</f>
        <v>558497500</v>
      </c>
      <c r="I16" s="127">
        <f>I10+I12</f>
        <v>558497500</v>
      </c>
      <c r="J16" s="169"/>
      <c r="K16" s="168"/>
    </row>
    <row r="17" spans="1:11" s="38" customFormat="1" ht="39.200000000000003" customHeight="1" x14ac:dyDescent="0.2">
      <c r="A17" s="168">
        <v>2</v>
      </c>
      <c r="B17" s="169" t="s">
        <v>108</v>
      </c>
      <c r="C17" s="39">
        <f t="shared" si="7"/>
        <v>717138000</v>
      </c>
      <c r="D17" s="39">
        <f t="shared" ref="D17" si="9">SUM(E17:G17)</f>
        <v>512258000</v>
      </c>
      <c r="E17" s="39">
        <f>E13</f>
        <v>470040000</v>
      </c>
      <c r="F17" s="39">
        <f t="shared" ref="F17:I17" si="10">F13</f>
        <v>18044000</v>
      </c>
      <c r="G17" s="39">
        <f t="shared" si="10"/>
        <v>24174000</v>
      </c>
      <c r="H17" s="39">
        <f t="shared" si="5"/>
        <v>204880000</v>
      </c>
      <c r="I17" s="39">
        <f t="shared" si="10"/>
        <v>204880000</v>
      </c>
      <c r="J17" s="168"/>
      <c r="K17" s="168"/>
    </row>
    <row r="18" spans="1:11" ht="6.75" customHeight="1" x14ac:dyDescent="0.2">
      <c r="A18" s="171"/>
      <c r="B18" s="171"/>
      <c r="C18" s="172"/>
      <c r="D18" s="172"/>
      <c r="E18" s="173"/>
      <c r="F18" s="173"/>
      <c r="G18" s="173"/>
      <c r="H18" s="172"/>
      <c r="I18" s="172"/>
      <c r="J18" s="171"/>
      <c r="K18" s="171"/>
    </row>
    <row r="20" spans="1:11" x14ac:dyDescent="0.2">
      <c r="E20" s="2"/>
      <c r="F20" s="2"/>
      <c r="G20" s="2"/>
      <c r="H20" s="2"/>
      <c r="I20" s="2"/>
    </row>
    <row r="21" spans="1:11" x14ac:dyDescent="0.2">
      <c r="E21" s="2"/>
      <c r="F21" s="2"/>
      <c r="G21" s="2"/>
      <c r="H21" s="2"/>
      <c r="I21" s="2"/>
      <c r="J21" s="174"/>
    </row>
    <row r="22" spans="1:11" x14ac:dyDescent="0.2">
      <c r="D22" s="175"/>
      <c r="E22" s="176"/>
      <c r="F22" s="176"/>
      <c r="G22" s="176"/>
      <c r="H22" s="176"/>
      <c r="I22" s="176"/>
    </row>
    <row r="24" spans="1:11" x14ac:dyDescent="0.2">
      <c r="E24" s="2"/>
      <c r="F24" s="2"/>
      <c r="G24" s="2"/>
      <c r="H24" s="2"/>
      <c r="I24" s="2"/>
    </row>
    <row r="25" spans="1:11" s="177" customFormat="1" x14ac:dyDescent="0.2">
      <c r="C25" s="175"/>
      <c r="D25" s="175"/>
      <c r="E25" s="176"/>
      <c r="F25" s="176"/>
      <c r="G25" s="176"/>
      <c r="H25" s="176"/>
      <c r="I25" s="176"/>
    </row>
    <row r="26" spans="1:11" s="177" customFormat="1" x14ac:dyDescent="0.2">
      <c r="C26" s="175"/>
      <c r="D26" s="175"/>
      <c r="E26" s="176"/>
      <c r="F26" s="176"/>
      <c r="G26" s="176"/>
      <c r="H26" s="176"/>
      <c r="I26" s="176"/>
    </row>
    <row r="29" spans="1:11" ht="25.5" x14ac:dyDescent="0.35">
      <c r="C29" s="178"/>
    </row>
  </sheetData>
  <mergeCells count="10">
    <mergeCell ref="K5:K6"/>
    <mergeCell ref="A2:K2"/>
    <mergeCell ref="J5:J6"/>
    <mergeCell ref="C5:C6"/>
    <mergeCell ref="D5:D6"/>
    <mergeCell ref="E5:G5"/>
    <mergeCell ref="B5:B6"/>
    <mergeCell ref="A5:A6"/>
    <mergeCell ref="H5:H6"/>
    <mergeCell ref="A3:K3"/>
  </mergeCells>
  <printOptions horizontalCentered="1"/>
  <pageMargins left="0.35" right="0.35" top="0.51" bottom="0.5" header="0.19" footer="0.17"/>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2389</vt:lpstr>
      <vt:lpstr>Bieu01kemBB.ok</vt:lpstr>
      <vt:lpstr>TH.VPS</vt:lpstr>
      <vt:lpstr>TH.VPĐK</vt:lpstr>
      <vt:lpstr>Bieu01kemBB.ok!Print_Area</vt:lpstr>
      <vt:lpstr>TH.VPĐK!Print_Area</vt:lpstr>
      <vt:lpstr>TH.VPS!Print_Area</vt:lpstr>
      <vt:lpstr>Bieu01kemBB.ok!Print_Titles</vt:lpstr>
      <vt:lpstr>TH.VPĐK!Print_Titles</vt:lpstr>
      <vt:lpstr>TH.VPS!Print_Titles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Huỳnh Thị Thanh Nam</cp:lastModifiedBy>
  <cp:lastPrinted>2025-06-27T10:02:44Z</cp:lastPrinted>
  <dcterms:created xsi:type="dcterms:W3CDTF">2021-04-15T09:32:09Z</dcterms:created>
  <dcterms:modified xsi:type="dcterms:W3CDTF">2025-06-28T09:51:59Z</dcterms:modified>
</cp:coreProperties>
</file>