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J:\My Drive\Tam\2024\12. Cong khai thu chi 2024\Cong khai quy 4.2024\"/>
    </mc:Choice>
  </mc:AlternateContent>
  <xr:revisionPtr revIDLastSave="0" documentId="13_ncr:1_{93F27C0A-7F19-4086-B689-BE3F703572DB}" xr6:coauthVersionLast="36" xr6:coauthVersionMax="47"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sheetId="20" state="hidden" r:id="rId3"/>
    <sheet name="Bieu 3" sheetId="24" r:id="rId4"/>
    <sheet name="IV.2" sheetId="21" state="hidden" r:id="rId5"/>
  </sheets>
  <definedNames>
    <definedName name="_xlnm._FilterDatabase" localSheetId="3" hidden="1">'Bieu 3'!$A$12:$AB$77</definedName>
    <definedName name="_xlnm._FilterDatabase" localSheetId="2" hidden="1">SNN!$A$5:$AC$5</definedName>
    <definedName name="_xlnm._FilterDatabase" localSheetId="1" hidden="1">'SNN (2)'!$A$5:$K$5</definedName>
    <definedName name="_xlnm.Print_Area" localSheetId="3">'Bieu 3'!$A$1:$G$81</definedName>
    <definedName name="_xlnm.Print_Area" localSheetId="2">SNN!$A$1:$R$516</definedName>
    <definedName name="_xlnm.Print_Titles" localSheetId="3">'Bieu 3'!$11:$12</definedName>
    <definedName name="_xlnm.Print_Titles" localSheetId="2">SNN!$3:$5</definedName>
    <definedName name="_xlnm.Print_Titles" localSheetId="1">'SNN (2)'!$5:$5</definedName>
  </definedNames>
  <calcPr calcId="191029"/>
</workbook>
</file>

<file path=xl/calcChain.xml><?xml version="1.0" encoding="utf-8"?>
<calcChain xmlns="http://schemas.openxmlformats.org/spreadsheetml/2006/main">
  <c r="J243" i="20" l="1"/>
  <c r="J242" i="20"/>
  <c r="J241" i="20"/>
  <c r="J240" i="20"/>
  <c r="J239" i="20"/>
  <c r="J238" i="20"/>
  <c r="J231" i="20"/>
  <c r="J232" i="20"/>
  <c r="J230" i="20"/>
  <c r="J210" i="20"/>
  <c r="J209" i="20"/>
  <c r="J208" i="20"/>
  <c r="J207" i="20"/>
  <c r="J206" i="20"/>
  <c r="J205" i="20"/>
  <c r="J204" i="20"/>
  <c r="J203" i="20"/>
  <c r="J201" i="20"/>
  <c r="J193" i="20"/>
  <c r="J194" i="20"/>
  <c r="J195" i="20"/>
  <c r="J196" i="20"/>
  <c r="J192" i="20"/>
  <c r="AA94" i="20" l="1"/>
  <c r="AA90" i="20"/>
  <c r="F49" i="24" l="1"/>
  <c r="J153" i="20" l="1"/>
  <c r="K153" i="20"/>
  <c r="I153" i="20"/>
  <c r="J163" i="20"/>
  <c r="J95" i="20"/>
  <c r="J130" i="20" l="1"/>
  <c r="J129" i="20"/>
  <c r="J96" i="20"/>
  <c r="J35" i="20" l="1"/>
  <c r="K35" i="20"/>
  <c r="I35" i="20"/>
  <c r="I25" i="20"/>
  <c r="I24" i="20"/>
  <c r="AA83" i="20"/>
  <c r="I369" i="20" l="1"/>
  <c r="I380" i="20"/>
  <c r="J372" i="20" l="1"/>
  <c r="K372" i="20"/>
  <c r="I372" i="20"/>
  <c r="J373" i="20"/>
  <c r="AA403" i="20" l="1"/>
  <c r="J403" i="20"/>
  <c r="K403" i="20"/>
  <c r="J326" i="20" l="1"/>
  <c r="K326" i="20"/>
  <c r="J310" i="20"/>
  <c r="J377" i="20" l="1"/>
  <c r="K377" i="20"/>
  <c r="I377" i="20"/>
  <c r="J339" i="20"/>
  <c r="K339" i="20"/>
  <c r="I339" i="20"/>
  <c r="J313" i="20"/>
  <c r="K313" i="20"/>
  <c r="I313" i="20"/>
  <c r="J282" i="20"/>
  <c r="K282" i="20"/>
  <c r="I282" i="20"/>
  <c r="K284" i="20"/>
  <c r="J202" i="20"/>
  <c r="K202" i="20"/>
  <c r="I202" i="20"/>
  <c r="I200" i="20" s="1"/>
  <c r="J234" i="20"/>
  <c r="K234" i="20"/>
  <c r="I234" i="20"/>
  <c r="J197" i="20"/>
  <c r="K197" i="20"/>
  <c r="I197" i="20"/>
  <c r="J158" i="20"/>
  <c r="K158" i="20"/>
  <c r="I158" i="20"/>
  <c r="J97" i="20"/>
  <c r="K97" i="20"/>
  <c r="I97" i="20"/>
  <c r="I458" i="20" l="1"/>
  <c r="J472" i="20"/>
  <c r="J471" i="20" s="1"/>
  <c r="K472" i="20"/>
  <c r="K471" i="20" s="1"/>
  <c r="I472" i="20"/>
  <c r="I471" i="20" s="1"/>
  <c r="J442" i="20"/>
  <c r="K442" i="20"/>
  <c r="J440" i="20"/>
  <c r="K440" i="20"/>
  <c r="I442" i="20"/>
  <c r="I440" i="20"/>
  <c r="I439" i="20" s="1"/>
  <c r="I326" i="20"/>
  <c r="J219" i="20"/>
  <c r="K219" i="20"/>
  <c r="I219" i="20"/>
  <c r="J127" i="20"/>
  <c r="K127" i="20"/>
  <c r="I127" i="20"/>
  <c r="K439" i="20" l="1"/>
  <c r="J439" i="20"/>
  <c r="I461" i="20"/>
  <c r="I414" i="20"/>
  <c r="J409" i="20"/>
  <c r="I409" i="20"/>
  <c r="I405" i="20"/>
  <c r="I386" i="20"/>
  <c r="I384" i="20"/>
  <c r="I378" i="20"/>
  <c r="I374" i="20"/>
  <c r="I354" i="20"/>
  <c r="J308" i="20"/>
  <c r="K308" i="20"/>
  <c r="I353" i="20"/>
  <c r="I350" i="20"/>
  <c r="I346" i="20"/>
  <c r="I323" i="20"/>
  <c r="I322" i="20"/>
  <c r="I320" i="20"/>
  <c r="I314" i="20"/>
  <c r="I310" i="20"/>
  <c r="I309" i="20"/>
  <c r="I308" i="20" s="1"/>
  <c r="I307" i="20" s="1"/>
  <c r="I303" i="20"/>
  <c r="J298" i="20"/>
  <c r="K298" i="20"/>
  <c r="I298" i="20"/>
  <c r="I291" i="20"/>
  <c r="I288" i="20"/>
  <c r="I287" i="20"/>
  <c r="I286" i="20"/>
  <c r="I283" i="20"/>
  <c r="J278" i="20"/>
  <c r="K278" i="20"/>
  <c r="I280" i="20"/>
  <c r="I279" i="20"/>
  <c r="I264" i="20"/>
  <c r="I263" i="20"/>
  <c r="I256" i="20"/>
  <c r="I252" i="20"/>
  <c r="I242" i="20"/>
  <c r="I235" i="20"/>
  <c r="I231" i="20"/>
  <c r="I206" i="20"/>
  <c r="I193" i="20"/>
  <c r="I192" i="20"/>
  <c r="I155" i="20"/>
  <c r="I154" i="20"/>
  <c r="I96" i="20"/>
  <c r="I142" i="20"/>
  <c r="I141" i="20"/>
  <c r="I136" i="20"/>
  <c r="I115" i="20"/>
  <c r="I114" i="20"/>
  <c r="I113" i="20"/>
  <c r="I112" i="20"/>
  <c r="I110" i="20"/>
  <c r="I109" i="20"/>
  <c r="I106" i="20"/>
  <c r="I101" i="20"/>
  <c r="I278" i="20" l="1"/>
  <c r="J200" i="20"/>
  <c r="K200" i="20"/>
  <c r="I431" i="20" l="1"/>
  <c r="I428" i="20"/>
  <c r="I251" i="20" l="1"/>
  <c r="I250" i="20" s="1"/>
  <c r="I249" i="20" s="1"/>
  <c r="I340" i="20" l="1"/>
  <c r="I336" i="20"/>
  <c r="I335" i="20" s="1"/>
  <c r="I404" i="20" l="1"/>
  <c r="I403" i="20" s="1"/>
  <c r="I373" i="20" l="1"/>
  <c r="I230" i="20" l="1"/>
  <c r="I229" i="20" s="1"/>
  <c r="I228" i="20" s="1"/>
  <c r="I92" i="20" l="1"/>
  <c r="I91" i="20" s="1"/>
  <c r="I285" i="20" l="1"/>
  <c r="I179" i="20" l="1"/>
  <c r="J385" i="20" l="1"/>
  <c r="K385" i="20"/>
  <c r="K72" i="24" l="1"/>
  <c r="AB59" i="24"/>
  <c r="AA59" i="24"/>
  <c r="Z59" i="24"/>
  <c r="Y59" i="24"/>
  <c r="X59" i="24"/>
  <c r="W59" i="24"/>
  <c r="V59" i="24"/>
  <c r="U59" i="24"/>
  <c r="I58" i="24"/>
  <c r="J57" i="24"/>
  <c r="I57" i="24"/>
  <c r="AB56" i="24"/>
  <c r="AA56" i="24"/>
  <c r="Z56" i="24"/>
  <c r="Y56" i="24"/>
  <c r="X56" i="24"/>
  <c r="W56" i="24"/>
  <c r="V56" i="24"/>
  <c r="U56" i="24"/>
  <c r="K55" i="24"/>
  <c r="K54" i="24"/>
  <c r="AB53" i="24"/>
  <c r="AA53" i="24"/>
  <c r="Z53" i="24"/>
  <c r="Y53" i="24"/>
  <c r="X53" i="24"/>
  <c r="W53" i="24"/>
  <c r="V53" i="24"/>
  <c r="U53" i="24"/>
  <c r="AB50" i="24"/>
  <c r="AA50" i="24"/>
  <c r="Z50" i="24"/>
  <c r="Y50" i="24"/>
  <c r="X50" i="24"/>
  <c r="W50" i="24"/>
  <c r="V50" i="24"/>
  <c r="U50" i="24"/>
  <c r="AB47" i="24"/>
  <c r="AA47" i="24"/>
  <c r="Z47" i="24"/>
  <c r="Y47" i="24"/>
  <c r="X47" i="24"/>
  <c r="W47" i="24"/>
  <c r="V47" i="24"/>
  <c r="U47" i="24"/>
  <c r="I39" i="24"/>
  <c r="I38" i="24"/>
  <c r="AB37" i="24"/>
  <c r="AA37" i="24"/>
  <c r="Z37" i="24"/>
  <c r="Y37" i="24"/>
  <c r="X37" i="24"/>
  <c r="W37" i="24"/>
  <c r="V37" i="24"/>
  <c r="U37" i="24"/>
  <c r="K36" i="24"/>
  <c r="K35" i="24"/>
  <c r="I35" i="24"/>
  <c r="AB31" i="24"/>
  <c r="AB28" i="24" s="1"/>
  <c r="AA31" i="24"/>
  <c r="AA28" i="24" s="1"/>
  <c r="Z31" i="24"/>
  <c r="Z28" i="24" s="1"/>
  <c r="Y31" i="24"/>
  <c r="Y28" i="24" s="1"/>
  <c r="X31" i="24"/>
  <c r="X28" i="24" s="1"/>
  <c r="W31" i="24"/>
  <c r="W28" i="24" s="1"/>
  <c r="U31" i="24"/>
  <c r="U28" i="24" s="1"/>
  <c r="AB17" i="24"/>
  <c r="AA17" i="24"/>
  <c r="Z17" i="24"/>
  <c r="Y17" i="24"/>
  <c r="X17" i="24"/>
  <c r="W17" i="24"/>
  <c r="U17" i="24"/>
  <c r="AB15" i="24"/>
  <c r="AA15" i="24"/>
  <c r="Z15" i="24"/>
  <c r="Y15" i="24"/>
  <c r="X15" i="24"/>
  <c r="W15" i="24"/>
  <c r="U15" i="24"/>
  <c r="AA14" i="24" l="1"/>
  <c r="U14" i="24"/>
  <c r="Z14" i="24"/>
  <c r="U36" i="24"/>
  <c r="U35" i="24" s="1"/>
  <c r="X14" i="24"/>
  <c r="Y36" i="24"/>
  <c r="Y35" i="24" s="1"/>
  <c r="V36" i="24"/>
  <c r="V35" i="24" s="1"/>
  <c r="Z36" i="24"/>
  <c r="Z35" i="24" s="1"/>
  <c r="W14" i="24"/>
  <c r="AB14" i="24"/>
  <c r="Y14" i="24"/>
  <c r="X36" i="24"/>
  <c r="X35" i="24" s="1"/>
  <c r="AB36" i="24"/>
  <c r="AB35" i="24" s="1"/>
  <c r="W36" i="24"/>
  <c r="W35" i="24" s="1"/>
  <c r="AA36" i="24"/>
  <c r="AA35" i="24" s="1"/>
  <c r="L37" i="20"/>
  <c r="M37" i="20"/>
  <c r="L40" i="20"/>
  <c r="M40" i="20"/>
  <c r="L43" i="20"/>
  <c r="M43" i="20"/>
  <c r="L46" i="20"/>
  <c r="M46" i="20"/>
  <c r="L49" i="20"/>
  <c r="M49" i="20"/>
  <c r="L53" i="20"/>
  <c r="M53" i="20"/>
  <c r="L57" i="20"/>
  <c r="M57" i="20"/>
  <c r="L60" i="20"/>
  <c r="M60" i="20"/>
  <c r="L65" i="20"/>
  <c r="M65" i="20"/>
  <c r="L66" i="20"/>
  <c r="M66" i="20"/>
  <c r="L69" i="20"/>
  <c r="M69" i="20"/>
  <c r="L71" i="20"/>
  <c r="M71" i="20"/>
  <c r="L72" i="20"/>
  <c r="M72" i="20"/>
  <c r="L74" i="20"/>
  <c r="M74" i="20"/>
  <c r="L75" i="20"/>
  <c r="M75" i="20"/>
  <c r="L92" i="20"/>
  <c r="M92" i="20"/>
  <c r="L94" i="20"/>
  <c r="M94" i="20"/>
  <c r="L95" i="20"/>
  <c r="M95" i="20"/>
  <c r="L96" i="20"/>
  <c r="M96" i="20"/>
  <c r="L98" i="20"/>
  <c r="M98" i="20"/>
  <c r="L101" i="20"/>
  <c r="M101"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2" i="20"/>
  <c r="M122" i="20"/>
  <c r="L123" i="20"/>
  <c r="M123" i="20"/>
  <c r="L125" i="20"/>
  <c r="M125" i="20"/>
  <c r="L126" i="20"/>
  <c r="M126" i="20"/>
  <c r="L128" i="20"/>
  <c r="M128" i="20"/>
  <c r="L132" i="20"/>
  <c r="M132" i="20"/>
  <c r="L133" i="20"/>
  <c r="M133" i="20"/>
  <c r="L136" i="20"/>
  <c r="M136" i="20"/>
  <c r="L138" i="20"/>
  <c r="M138" i="20"/>
  <c r="L141" i="20"/>
  <c r="M141" i="20"/>
  <c r="L142" i="20"/>
  <c r="M142" i="20"/>
  <c r="L145" i="20"/>
  <c r="M145" i="20"/>
  <c r="L148" i="20"/>
  <c r="M148" i="20"/>
  <c r="L154" i="20"/>
  <c r="M154" i="20"/>
  <c r="L156" i="20"/>
  <c r="M156" i="20"/>
  <c r="L157" i="20"/>
  <c r="M157" i="20"/>
  <c r="L159" i="20"/>
  <c r="M159" i="20"/>
  <c r="L162" i="20"/>
  <c r="M162" i="20"/>
  <c r="L164" i="20"/>
  <c r="M164" i="20"/>
  <c r="L165" i="20"/>
  <c r="M165" i="20"/>
  <c r="L166" i="20"/>
  <c r="M166" i="20"/>
  <c r="L167" i="20"/>
  <c r="M167" i="20"/>
  <c r="L169" i="20"/>
  <c r="M169" i="20"/>
  <c r="L170" i="20"/>
  <c r="M170" i="20"/>
  <c r="L172" i="20"/>
  <c r="M172" i="20"/>
  <c r="L174" i="20"/>
  <c r="M174" i="20"/>
  <c r="L175" i="20"/>
  <c r="M175" i="20"/>
  <c r="L176" i="20"/>
  <c r="M176" i="20"/>
  <c r="L179" i="20"/>
  <c r="M179" i="20"/>
  <c r="L180" i="20"/>
  <c r="M180" i="20"/>
  <c r="L183" i="20"/>
  <c r="M183" i="20"/>
  <c r="L184" i="20"/>
  <c r="M184" i="20"/>
  <c r="L186" i="20"/>
  <c r="M186" i="20"/>
  <c r="L192" i="20"/>
  <c r="M192" i="20"/>
  <c r="L194" i="20"/>
  <c r="M194" i="20"/>
  <c r="L195" i="20"/>
  <c r="M195" i="20"/>
  <c r="L196" i="20"/>
  <c r="M196" i="20"/>
  <c r="L198" i="20"/>
  <c r="M198" i="20"/>
  <c r="L201" i="20"/>
  <c r="M201" i="20"/>
  <c r="L203" i="20"/>
  <c r="M203" i="20"/>
  <c r="L204" i="20"/>
  <c r="M204" i="20"/>
  <c r="L205" i="20"/>
  <c r="M205" i="20"/>
  <c r="L206" i="20"/>
  <c r="M206" i="20"/>
  <c r="L207" i="20"/>
  <c r="M207" i="20"/>
  <c r="L208" i="20"/>
  <c r="M208" i="20"/>
  <c r="L209" i="20"/>
  <c r="M209" i="20"/>
  <c r="L210" i="20"/>
  <c r="M210" i="20"/>
  <c r="L211" i="20"/>
  <c r="M211" i="20"/>
  <c r="L213" i="20"/>
  <c r="M213" i="20"/>
  <c r="L214" i="20"/>
  <c r="M214" i="20"/>
  <c r="L215" i="20"/>
  <c r="M215" i="20"/>
  <c r="L218" i="20"/>
  <c r="M218" i="20"/>
  <c r="L223" i="20"/>
  <c r="M223" i="20"/>
  <c r="L224" i="20"/>
  <c r="M224" i="20"/>
  <c r="L225" i="20"/>
  <c r="M225" i="20"/>
  <c r="L230" i="20"/>
  <c r="M230" i="20"/>
  <c r="L232" i="20"/>
  <c r="M232" i="20"/>
  <c r="L233" i="20"/>
  <c r="M233" i="20"/>
  <c r="L235" i="20"/>
  <c r="M235" i="20"/>
  <c r="L238" i="20"/>
  <c r="M238" i="20"/>
  <c r="L239" i="20"/>
  <c r="M239" i="20"/>
  <c r="L240" i="20"/>
  <c r="M240" i="20"/>
  <c r="L241" i="20"/>
  <c r="M241" i="20"/>
  <c r="L242" i="20"/>
  <c r="M242" i="20"/>
  <c r="L243" i="20"/>
  <c r="M243" i="20"/>
  <c r="L244" i="20"/>
  <c r="M244" i="20"/>
  <c r="L245" i="20"/>
  <c r="M245" i="20"/>
  <c r="L251" i="20"/>
  <c r="M251" i="20"/>
  <c r="L253" i="20"/>
  <c r="M253" i="20"/>
  <c r="L254" i="20"/>
  <c r="M254" i="20"/>
  <c r="L256" i="20"/>
  <c r="M256" i="20"/>
  <c r="L259" i="20"/>
  <c r="M259" i="20"/>
  <c r="L261" i="20"/>
  <c r="M261" i="20"/>
  <c r="L262" i="20"/>
  <c r="M262" i="20"/>
  <c r="L263" i="20"/>
  <c r="M263" i="20"/>
  <c r="L264" i="20"/>
  <c r="M264" i="20"/>
  <c r="L265" i="20"/>
  <c r="M265" i="20"/>
  <c r="L266" i="20"/>
  <c r="M266" i="20"/>
  <c r="L267" i="20"/>
  <c r="M267" i="20"/>
  <c r="L268" i="20"/>
  <c r="M268" i="20"/>
  <c r="L271" i="20"/>
  <c r="M271" i="20"/>
  <c r="L273" i="20"/>
  <c r="M273" i="20"/>
  <c r="L274" i="20"/>
  <c r="M274" i="20"/>
  <c r="L279" i="20"/>
  <c r="M279" i="20"/>
  <c r="L281" i="20"/>
  <c r="M281" i="20"/>
  <c r="L283" i="20"/>
  <c r="M283" i="20"/>
  <c r="L286" i="20"/>
  <c r="M286" i="20"/>
  <c r="L287" i="20"/>
  <c r="M287" i="20"/>
  <c r="L288" i="20"/>
  <c r="M288" i="20"/>
  <c r="L289" i="20"/>
  <c r="M289" i="20"/>
  <c r="L290" i="20"/>
  <c r="M290" i="20"/>
  <c r="L291" i="20"/>
  <c r="M291" i="20"/>
  <c r="L294" i="20"/>
  <c r="M294" i="20"/>
  <c r="L295" i="20"/>
  <c r="M295" i="20"/>
  <c r="L296" i="20"/>
  <c r="M296" i="20"/>
  <c r="L297" i="20"/>
  <c r="M297" i="20"/>
  <c r="L299" i="20"/>
  <c r="M299" i="20"/>
  <c r="L303" i="20"/>
  <c r="M303" i="20"/>
  <c r="L309" i="20"/>
  <c r="M309" i="20"/>
  <c r="L311" i="20"/>
  <c r="M311" i="20"/>
  <c r="L312" i="20"/>
  <c r="M312" i="20"/>
  <c r="L314" i="20"/>
  <c r="M314" i="20"/>
  <c r="L317" i="20"/>
  <c r="M317" i="20"/>
  <c r="L319" i="20"/>
  <c r="M319" i="20"/>
  <c r="L320" i="20"/>
  <c r="M320" i="20"/>
  <c r="L321" i="20"/>
  <c r="M321" i="20"/>
  <c r="L322" i="20"/>
  <c r="M322" i="20"/>
  <c r="L323" i="20"/>
  <c r="M323" i="20"/>
  <c r="L324" i="20"/>
  <c r="M324" i="20"/>
  <c r="L325" i="20"/>
  <c r="M325" i="20"/>
  <c r="L329" i="20"/>
  <c r="M329" i="20"/>
  <c r="L330" i="20"/>
  <c r="M330" i="20"/>
  <c r="L331" i="20"/>
  <c r="M331" i="20"/>
  <c r="L336" i="20"/>
  <c r="M336" i="20"/>
  <c r="L338" i="20"/>
  <c r="M338" i="20"/>
  <c r="L340" i="20"/>
  <c r="M340" i="20"/>
  <c r="L343" i="20"/>
  <c r="M343" i="20"/>
  <c r="L344" i="20"/>
  <c r="M344" i="20"/>
  <c r="L345" i="20"/>
  <c r="M345" i="20"/>
  <c r="L346" i="20"/>
  <c r="M346" i="20"/>
  <c r="L347" i="20"/>
  <c r="M347" i="20"/>
  <c r="L348" i="20"/>
  <c r="M348" i="20"/>
  <c r="L349" i="20"/>
  <c r="M349" i="20"/>
  <c r="L350" i="20"/>
  <c r="M350" i="20"/>
  <c r="L352" i="20"/>
  <c r="M352" i="20"/>
  <c r="L353" i="20"/>
  <c r="M353" i="20"/>
  <c r="L354" i="20"/>
  <c r="M354" i="20"/>
  <c r="L355" i="20"/>
  <c r="M355" i="20"/>
  <c r="L356" i="20"/>
  <c r="M356" i="20"/>
  <c r="L357" i="20"/>
  <c r="M357" i="20"/>
  <c r="L358" i="20"/>
  <c r="M358" i="20"/>
  <c r="L359" i="20"/>
  <c r="M359" i="20"/>
  <c r="L360" i="20"/>
  <c r="M360" i="20"/>
  <c r="L361" i="20"/>
  <c r="M361" i="20"/>
  <c r="L365" i="20"/>
  <c r="M365" i="20"/>
  <c r="L368" i="20"/>
  <c r="M368" i="20"/>
  <c r="L373" i="20"/>
  <c r="M373" i="20"/>
  <c r="L375" i="20"/>
  <c r="M375" i="20"/>
  <c r="L376" i="20"/>
  <c r="M376" i="20"/>
  <c r="L378" i="20"/>
  <c r="M378" i="20"/>
  <c r="L381" i="20"/>
  <c r="M381" i="20"/>
  <c r="L383" i="20"/>
  <c r="M383" i="20"/>
  <c r="L384" i="20"/>
  <c r="M384" i="20"/>
  <c r="L386" i="20"/>
  <c r="M386" i="20"/>
  <c r="L387" i="20"/>
  <c r="M387" i="20"/>
  <c r="L388" i="20"/>
  <c r="M388" i="20"/>
  <c r="L389" i="20"/>
  <c r="M389" i="20"/>
  <c r="L390" i="20"/>
  <c r="M390" i="20"/>
  <c r="L391" i="20"/>
  <c r="M391" i="20"/>
  <c r="L393" i="20"/>
  <c r="M393" i="20"/>
  <c r="L395" i="20"/>
  <c r="M395" i="20"/>
  <c r="L397" i="20"/>
  <c r="M397" i="20"/>
  <c r="L398" i="20"/>
  <c r="M398" i="20"/>
  <c r="L404" i="20"/>
  <c r="M404" i="20"/>
  <c r="L406" i="20"/>
  <c r="M406" i="20"/>
  <c r="L407" i="20"/>
  <c r="M407" i="20"/>
  <c r="L409" i="20"/>
  <c r="M409" i="20"/>
  <c r="L411" i="20"/>
  <c r="M411" i="20"/>
  <c r="L412" i="20"/>
  <c r="M412" i="20"/>
  <c r="L414" i="20"/>
  <c r="M414" i="20"/>
  <c r="L415" i="20"/>
  <c r="M415" i="20"/>
  <c r="L416" i="20"/>
  <c r="M416" i="20"/>
  <c r="L419" i="20"/>
  <c r="M419" i="20"/>
  <c r="L420" i="20"/>
  <c r="M420" i="20"/>
  <c r="L423" i="20"/>
  <c r="M423" i="20"/>
  <c r="L428" i="20"/>
  <c r="M428" i="20"/>
  <c r="L429" i="20"/>
  <c r="M429" i="20"/>
  <c r="L431" i="20"/>
  <c r="M431" i="20"/>
  <c r="L433" i="20"/>
  <c r="M433" i="20"/>
  <c r="L434" i="20"/>
  <c r="M434" i="20"/>
  <c r="L435" i="20"/>
  <c r="M435" i="20"/>
  <c r="L436" i="20"/>
  <c r="M436" i="20"/>
  <c r="L437" i="20"/>
  <c r="M437" i="20"/>
  <c r="L438" i="20"/>
  <c r="M438" i="20"/>
  <c r="L445" i="20"/>
  <c r="M445" i="20"/>
  <c r="L446" i="20"/>
  <c r="M446" i="20"/>
  <c r="L447" i="20"/>
  <c r="M447" i="20"/>
  <c r="L448" i="20"/>
  <c r="M448" i="20"/>
  <c r="L455" i="20"/>
  <c r="M455" i="20"/>
  <c r="L457" i="20"/>
  <c r="M457" i="20"/>
  <c r="L461" i="20"/>
  <c r="M461" i="20"/>
  <c r="L464" i="20"/>
  <c r="M464" i="20"/>
  <c r="L467" i="20"/>
  <c r="M467" i="20"/>
  <c r="L468" i="20"/>
  <c r="M468" i="20"/>
  <c r="L469" i="20"/>
  <c r="M469" i="20"/>
  <c r="L470" i="20"/>
  <c r="M470" i="20"/>
  <c r="L478" i="20"/>
  <c r="M478" i="20"/>
  <c r="L483" i="20"/>
  <c r="M483" i="20"/>
  <c r="L488" i="20"/>
  <c r="M488" i="20"/>
  <c r="L493" i="20"/>
  <c r="M493" i="20"/>
  <c r="L498" i="20"/>
  <c r="M498" i="20"/>
  <c r="L500" i="20"/>
  <c r="M500" i="20"/>
  <c r="L505" i="20"/>
  <c r="M505" i="20"/>
  <c r="L506" i="20"/>
  <c r="M506" i="20"/>
  <c r="L507" i="20"/>
  <c r="M507" i="20"/>
  <c r="L512" i="20"/>
  <c r="M512" i="20"/>
  <c r="L516" i="20"/>
  <c r="M516" i="20"/>
  <c r="K11" i="20"/>
  <c r="E18" i="24" s="1"/>
  <c r="K12" i="20"/>
  <c r="E19" i="24" s="1"/>
  <c r="E33" i="24" s="1"/>
  <c r="K13" i="20"/>
  <c r="E20" i="24" s="1"/>
  <c r="E34" i="24" s="1"/>
  <c r="K9" i="20"/>
  <c r="E16" i="24" s="1"/>
  <c r="E30" i="24" l="1"/>
  <c r="E29" i="24" s="1"/>
  <c r="E15" i="24"/>
  <c r="E32" i="24"/>
  <c r="E31" i="24" s="1"/>
  <c r="E17" i="24"/>
  <c r="J427" i="20"/>
  <c r="K427" i="20"/>
  <c r="E14" i="24" l="1"/>
  <c r="E28" i="24"/>
  <c r="M427" i="20"/>
  <c r="J121" i="20"/>
  <c r="K515" i="20"/>
  <c r="K514" i="20" s="1"/>
  <c r="K513" i="20" s="1"/>
  <c r="K64" i="20" s="1"/>
  <c r="K63" i="20" s="1"/>
  <c r="K62" i="20" s="1"/>
  <c r="K511" i="20"/>
  <c r="K510" i="20" s="1"/>
  <c r="K509" i="20" s="1"/>
  <c r="K508" i="20" s="1"/>
  <c r="K54" i="20" s="1"/>
  <c r="K52" i="20" s="1"/>
  <c r="E72" i="24" s="1"/>
  <c r="K504" i="20"/>
  <c r="K503" i="20" s="1"/>
  <c r="K502" i="20" s="1"/>
  <c r="K501" i="20" s="1"/>
  <c r="K499" i="20"/>
  <c r="K497" i="20"/>
  <c r="K496" i="20"/>
  <c r="K492" i="20"/>
  <c r="K491" i="20"/>
  <c r="K490" i="20" s="1"/>
  <c r="K489" i="20" s="1"/>
  <c r="K487" i="20"/>
  <c r="K486" i="20"/>
  <c r="K485" i="20"/>
  <c r="K484" i="20" s="1"/>
  <c r="K482" i="20"/>
  <c r="K481" i="20"/>
  <c r="K480" i="20"/>
  <c r="K479" i="20" s="1"/>
  <c r="K477" i="20"/>
  <c r="K476" i="20"/>
  <c r="K475" i="20" s="1"/>
  <c r="K474" i="20" s="1"/>
  <c r="K466" i="20"/>
  <c r="K465" i="20" s="1"/>
  <c r="K463" i="20"/>
  <c r="K462" i="20" s="1"/>
  <c r="K460" i="20"/>
  <c r="K459" i="20" s="1"/>
  <c r="K456" i="20"/>
  <c r="K454" i="20"/>
  <c r="K453" i="20" s="1"/>
  <c r="K444" i="20"/>
  <c r="K432" i="20"/>
  <c r="K430" i="20"/>
  <c r="K425" i="20" s="1"/>
  <c r="K426" i="20"/>
  <c r="K422" i="20"/>
  <c r="K418" i="20"/>
  <c r="K413" i="20"/>
  <c r="K410" i="20" s="1"/>
  <c r="K408" i="20"/>
  <c r="K402" i="20"/>
  <c r="K396" i="20"/>
  <c r="K394" i="20"/>
  <c r="K392" i="20"/>
  <c r="K382" i="20"/>
  <c r="K371" i="20"/>
  <c r="K367" i="20"/>
  <c r="K364" i="20"/>
  <c r="K363" i="20" s="1"/>
  <c r="K351" i="20"/>
  <c r="K342" i="20" s="1"/>
  <c r="K335" i="20"/>
  <c r="K334" i="20" s="1"/>
  <c r="K328" i="20"/>
  <c r="K318" i="20"/>
  <c r="K316" i="20" s="1"/>
  <c r="K307" i="20"/>
  <c r="K302" i="20"/>
  <c r="K301" i="20" s="1"/>
  <c r="K285" i="20"/>
  <c r="K277" i="20"/>
  <c r="K272" i="20"/>
  <c r="K270" i="20"/>
  <c r="K260" i="20"/>
  <c r="K258" i="20" s="1"/>
  <c r="K255" i="20"/>
  <c r="K250" i="20"/>
  <c r="K249" i="20" s="1"/>
  <c r="K237" i="20"/>
  <c r="K229" i="20"/>
  <c r="K228" i="20" s="1"/>
  <c r="K222" i="20"/>
  <c r="K217" i="20"/>
  <c r="K191" i="20"/>
  <c r="K190" i="20" s="1"/>
  <c r="K185" i="20"/>
  <c r="K182" i="20"/>
  <c r="K181" i="20" s="1"/>
  <c r="K178" i="20"/>
  <c r="K177" i="20" s="1"/>
  <c r="K173" i="20"/>
  <c r="K171" i="20"/>
  <c r="K168" i="20"/>
  <c r="K163" i="20"/>
  <c r="K152" i="20"/>
  <c r="K147" i="20"/>
  <c r="K146" i="20" s="1"/>
  <c r="K44" i="20" s="1"/>
  <c r="K42" i="20" s="1"/>
  <c r="E46" i="24" s="1"/>
  <c r="E40" i="24" s="1"/>
  <c r="K144" i="20"/>
  <c r="K143" i="20" s="1"/>
  <c r="K140" i="20" s="1"/>
  <c r="K139" i="20" s="1"/>
  <c r="K47" i="20" s="1"/>
  <c r="K45" i="20" s="1"/>
  <c r="E49" i="24" s="1"/>
  <c r="E47" i="24" s="1"/>
  <c r="K137" i="20"/>
  <c r="K135" i="20"/>
  <c r="K131" i="20"/>
  <c r="K124" i="20"/>
  <c r="K121" i="20"/>
  <c r="K120" i="20" s="1"/>
  <c r="K102" i="20"/>
  <c r="K91" i="20"/>
  <c r="K90" i="20" s="1"/>
  <c r="K83" i="20"/>
  <c r="K82" i="20" s="1"/>
  <c r="K81" i="20"/>
  <c r="K80" i="20"/>
  <c r="K78" i="20"/>
  <c r="K77" i="20" s="1"/>
  <c r="K73" i="20"/>
  <c r="K70" i="20"/>
  <c r="K68" i="20"/>
  <c r="K20" i="20"/>
  <c r="K19" i="20"/>
  <c r="K16" i="20"/>
  <c r="K15" i="20" s="1"/>
  <c r="K18" i="20"/>
  <c r="K8" i="20"/>
  <c r="J515" i="20"/>
  <c r="J511" i="20"/>
  <c r="J504" i="20"/>
  <c r="J499" i="20"/>
  <c r="J497" i="20"/>
  <c r="J496" i="20"/>
  <c r="J492" i="20"/>
  <c r="J491" i="20"/>
  <c r="J487" i="20"/>
  <c r="J486" i="20"/>
  <c r="J485" i="20"/>
  <c r="J482" i="20"/>
  <c r="J481" i="20"/>
  <c r="J480" i="20"/>
  <c r="J477" i="20"/>
  <c r="J476" i="20"/>
  <c r="J475" i="20" s="1"/>
  <c r="J466" i="20"/>
  <c r="J463" i="20"/>
  <c r="J462" i="20" s="1"/>
  <c r="J460" i="20"/>
  <c r="J456" i="20"/>
  <c r="J454" i="20"/>
  <c r="J444" i="20"/>
  <c r="J432" i="20"/>
  <c r="J430" i="20"/>
  <c r="J426" i="20"/>
  <c r="J422" i="20"/>
  <c r="J418" i="20"/>
  <c r="J413" i="20"/>
  <c r="J410" i="20" s="1"/>
  <c r="J408" i="20"/>
  <c r="J396" i="20"/>
  <c r="J394" i="20"/>
  <c r="J392" i="20"/>
  <c r="J367" i="20"/>
  <c r="J364" i="20"/>
  <c r="J351" i="20"/>
  <c r="J342" i="20" s="1"/>
  <c r="J335" i="20"/>
  <c r="J334" i="20" s="1"/>
  <c r="J328" i="20"/>
  <c r="J318" i="20"/>
  <c r="J302" i="20"/>
  <c r="J285" i="20"/>
  <c r="J272" i="20"/>
  <c r="J270" i="20"/>
  <c r="J260" i="20"/>
  <c r="J258" i="20" s="1"/>
  <c r="J255" i="20"/>
  <c r="J250" i="20"/>
  <c r="J237" i="20"/>
  <c r="J229" i="20"/>
  <c r="J222" i="20"/>
  <c r="J217" i="20"/>
  <c r="J191" i="20"/>
  <c r="J185" i="20"/>
  <c r="J182" i="20"/>
  <c r="J178" i="20"/>
  <c r="J173" i="20"/>
  <c r="J171" i="20"/>
  <c r="J168" i="20"/>
  <c r="J152" i="20"/>
  <c r="J147" i="20"/>
  <c r="J144" i="20"/>
  <c r="J137" i="20"/>
  <c r="J135" i="20"/>
  <c r="J131" i="20"/>
  <c r="J124" i="20"/>
  <c r="J102" i="20"/>
  <c r="J91" i="20"/>
  <c r="J90" i="20" s="1"/>
  <c r="J83" i="20"/>
  <c r="J81" i="20"/>
  <c r="J80" i="20"/>
  <c r="J78" i="20"/>
  <c r="J73" i="20"/>
  <c r="J70" i="20"/>
  <c r="J68" i="20"/>
  <c r="J13" i="20"/>
  <c r="J12" i="20"/>
  <c r="J11" i="20"/>
  <c r="J9" i="20"/>
  <c r="I515" i="20"/>
  <c r="I514" i="20" s="1"/>
  <c r="I513" i="20" s="1"/>
  <c r="I64" i="20" s="1"/>
  <c r="I63" i="20" s="1"/>
  <c r="I62" i="20" s="1"/>
  <c r="I511" i="20"/>
  <c r="I510" i="20" s="1"/>
  <c r="I509" i="20" s="1"/>
  <c r="I508" i="20" s="1"/>
  <c r="I54" i="20" s="1"/>
  <c r="I52" i="20" s="1"/>
  <c r="C72" i="24" s="1"/>
  <c r="I504" i="20"/>
  <c r="I503" i="20" s="1"/>
  <c r="I502" i="20" s="1"/>
  <c r="I501" i="20" s="1"/>
  <c r="I499" i="20"/>
  <c r="I497" i="20"/>
  <c r="I496" i="20"/>
  <c r="I492" i="20"/>
  <c r="I491" i="20"/>
  <c r="I490" i="20" s="1"/>
  <c r="I489" i="20" s="1"/>
  <c r="I487" i="20"/>
  <c r="I486" i="20"/>
  <c r="I485" i="20"/>
  <c r="I484" i="20" s="1"/>
  <c r="I482" i="20"/>
  <c r="I481" i="20"/>
  <c r="I480" i="20"/>
  <c r="I479" i="20" s="1"/>
  <c r="I477" i="20"/>
  <c r="I476" i="20"/>
  <c r="I475" i="20" s="1"/>
  <c r="I474" i="20" s="1"/>
  <c r="I466" i="20"/>
  <c r="I465" i="20" s="1"/>
  <c r="I463" i="20"/>
  <c r="I462" i="20" s="1"/>
  <c r="I460" i="20"/>
  <c r="I459" i="20" s="1"/>
  <c r="I456" i="20"/>
  <c r="I454" i="20"/>
  <c r="I453" i="20" s="1"/>
  <c r="I444" i="20"/>
  <c r="I432" i="20"/>
  <c r="I430" i="20"/>
  <c r="I427" i="20"/>
  <c r="I426" i="20" s="1"/>
  <c r="I422" i="20"/>
  <c r="I418" i="20"/>
  <c r="I413" i="20"/>
  <c r="I410" i="20" s="1"/>
  <c r="I408" i="20"/>
  <c r="I402" i="20"/>
  <c r="I396" i="20"/>
  <c r="I394" i="20"/>
  <c r="I392" i="20"/>
  <c r="I385" i="20"/>
  <c r="I382" i="20" s="1"/>
  <c r="I371" i="20"/>
  <c r="I367" i="20"/>
  <c r="I364" i="20"/>
  <c r="I363" i="20" s="1"/>
  <c r="I351" i="20"/>
  <c r="I342" i="20" s="1"/>
  <c r="I334" i="20"/>
  <c r="I328" i="20"/>
  <c r="I318" i="20"/>
  <c r="I316" i="20" s="1"/>
  <c r="I302" i="20"/>
  <c r="I301" i="20" s="1"/>
  <c r="I277" i="20"/>
  <c r="I272" i="20"/>
  <c r="I270" i="20"/>
  <c r="I260" i="20"/>
  <c r="I258" i="20" s="1"/>
  <c r="I255" i="20"/>
  <c r="I237" i="20"/>
  <c r="I222" i="20"/>
  <c r="I217" i="20"/>
  <c r="I191" i="20"/>
  <c r="I190" i="20" s="1"/>
  <c r="I185" i="20"/>
  <c r="I182" i="20"/>
  <c r="I181" i="20" s="1"/>
  <c r="I178" i="20"/>
  <c r="I177" i="20" s="1"/>
  <c r="I173" i="20"/>
  <c r="I171" i="20"/>
  <c r="I168" i="20"/>
  <c r="I163" i="20"/>
  <c r="I161" i="20" s="1"/>
  <c r="I152" i="20"/>
  <c r="I147" i="20"/>
  <c r="I146" i="20" s="1"/>
  <c r="I44" i="20" s="1"/>
  <c r="I42" i="20" s="1"/>
  <c r="C46" i="24" s="1"/>
  <c r="C40" i="24" s="1"/>
  <c r="I144" i="20"/>
  <c r="I143" i="20" s="1"/>
  <c r="I140" i="20" s="1"/>
  <c r="I139" i="20" s="1"/>
  <c r="I47" i="20" s="1"/>
  <c r="I45" i="20" s="1"/>
  <c r="C49" i="24" s="1"/>
  <c r="C47" i="24" s="1"/>
  <c r="I137" i="20"/>
  <c r="I135" i="20"/>
  <c r="I131" i="20"/>
  <c r="I124" i="20"/>
  <c r="I121" i="20"/>
  <c r="I120" i="20" s="1"/>
  <c r="I102" i="20"/>
  <c r="I90" i="20"/>
  <c r="I83" i="20"/>
  <c r="I82" i="20" s="1"/>
  <c r="I81" i="20"/>
  <c r="I80" i="20"/>
  <c r="I78" i="20"/>
  <c r="I77" i="20" s="1"/>
  <c r="I73" i="20"/>
  <c r="I70" i="20"/>
  <c r="I68" i="20"/>
  <c r="I13" i="20"/>
  <c r="C20" i="24" s="1"/>
  <c r="C34" i="24" s="1"/>
  <c r="I12" i="20"/>
  <c r="I11" i="20"/>
  <c r="C18" i="24" s="1"/>
  <c r="I9" i="20"/>
  <c r="C16" i="24" s="1"/>
  <c r="K458" i="20" l="1"/>
  <c r="I452" i="20"/>
  <c r="I58" i="20" s="1"/>
  <c r="I56" i="20" s="1"/>
  <c r="C74" i="24" s="1"/>
  <c r="K227" i="20"/>
  <c r="K226" i="20" s="1"/>
  <c r="I100" i="20"/>
  <c r="C39" i="24" s="1"/>
  <c r="K370" i="20"/>
  <c r="I276" i="20"/>
  <c r="I370" i="20"/>
  <c r="I151" i="20"/>
  <c r="I150" i="20" s="1"/>
  <c r="I149" i="20" s="1"/>
  <c r="AA150" i="20" s="1"/>
  <c r="I227" i="20"/>
  <c r="I226" i="20" s="1"/>
  <c r="I89" i="20"/>
  <c r="I38" i="20"/>
  <c r="I36" i="20" s="1"/>
  <c r="I306" i="20"/>
  <c r="I305" i="20" s="1"/>
  <c r="I10" i="20"/>
  <c r="I16" i="20"/>
  <c r="I15" i="20" s="1"/>
  <c r="I495" i="20"/>
  <c r="I494" i="20" s="1"/>
  <c r="J38" i="20"/>
  <c r="J36" i="20" s="1"/>
  <c r="I20" i="20"/>
  <c r="I401" i="20"/>
  <c r="I400" i="20" s="1"/>
  <c r="I399" i="20" s="1"/>
  <c r="AA400" i="20" s="1"/>
  <c r="K380" i="20"/>
  <c r="K29" i="20" s="1"/>
  <c r="K401" i="20"/>
  <c r="K400" i="20" s="1"/>
  <c r="K399" i="20" s="1"/>
  <c r="I8" i="20"/>
  <c r="I248" i="20"/>
  <c r="I247" i="20" s="1"/>
  <c r="J79" i="20"/>
  <c r="K333" i="20"/>
  <c r="K332" i="20" s="1"/>
  <c r="M367" i="20"/>
  <c r="K452" i="20"/>
  <c r="K58" i="20" s="1"/>
  <c r="K56" i="20" s="1"/>
  <c r="E74" i="24" s="1"/>
  <c r="K495" i="20"/>
  <c r="K494" i="20" s="1"/>
  <c r="I451" i="20"/>
  <c r="L163" i="20"/>
  <c r="L422" i="20"/>
  <c r="M422" i="20"/>
  <c r="M475" i="20"/>
  <c r="L475" i="20"/>
  <c r="C32" i="24"/>
  <c r="L168" i="20"/>
  <c r="L476" i="20"/>
  <c r="M476" i="20"/>
  <c r="J495" i="20"/>
  <c r="L496" i="20"/>
  <c r="M496" i="20"/>
  <c r="I7" i="20"/>
  <c r="I19" i="20"/>
  <c r="C19" i="24"/>
  <c r="C33" i="24" s="1"/>
  <c r="I333" i="20"/>
  <c r="I332" i="20" s="1"/>
  <c r="L124" i="20"/>
  <c r="L171" i="20"/>
  <c r="M171" i="20"/>
  <c r="L185" i="20"/>
  <c r="M185" i="20"/>
  <c r="M270" i="20"/>
  <c r="L270" i="20"/>
  <c r="L367" i="20"/>
  <c r="M394" i="20"/>
  <c r="L394" i="20"/>
  <c r="M456" i="20"/>
  <c r="L456" i="20"/>
  <c r="M477" i="20"/>
  <c r="L477" i="20"/>
  <c r="L482" i="20"/>
  <c r="M482" i="20"/>
  <c r="M487" i="20"/>
  <c r="L487" i="20"/>
  <c r="M497" i="20"/>
  <c r="L497" i="20"/>
  <c r="J514" i="20"/>
  <c r="M515" i="20"/>
  <c r="L515" i="20"/>
  <c r="L427" i="20"/>
  <c r="M462" i="20"/>
  <c r="L462" i="20"/>
  <c r="L480" i="20"/>
  <c r="M480" i="20"/>
  <c r="M485" i="20"/>
  <c r="L485" i="20"/>
  <c r="L492" i="20"/>
  <c r="M492" i="20"/>
  <c r="J503" i="20"/>
  <c r="L504" i="20"/>
  <c r="M504" i="20"/>
  <c r="K41" i="20"/>
  <c r="K39" i="20" s="1"/>
  <c r="E61" i="24" s="1"/>
  <c r="E59" i="24" s="1"/>
  <c r="I18" i="20"/>
  <c r="I79" i="20"/>
  <c r="J181" i="20"/>
  <c r="L182" i="20"/>
  <c r="M182" i="20"/>
  <c r="M392" i="20"/>
  <c r="L392" i="20"/>
  <c r="M463" i="20"/>
  <c r="L463" i="20"/>
  <c r="M481" i="20"/>
  <c r="L481" i="20"/>
  <c r="L486" i="20"/>
  <c r="M486" i="20"/>
  <c r="J510" i="20"/>
  <c r="M511" i="20"/>
  <c r="L511" i="20"/>
  <c r="M168" i="20"/>
  <c r="J120" i="20"/>
  <c r="J100" i="20" s="1"/>
  <c r="M121" i="20"/>
  <c r="L121" i="20"/>
  <c r="C30" i="24"/>
  <c r="C29" i="24" s="1"/>
  <c r="C15" i="24"/>
  <c r="I67" i="20"/>
  <c r="I134" i="20"/>
  <c r="I189" i="20"/>
  <c r="I188" i="20" s="1"/>
  <c r="J89" i="20"/>
  <c r="L127" i="20"/>
  <c r="M127" i="20"/>
  <c r="J143" i="20"/>
  <c r="L144" i="20"/>
  <c r="M144" i="20"/>
  <c r="J161" i="20"/>
  <c r="L161" i="20" s="1"/>
  <c r="J474" i="20"/>
  <c r="J479" i="20"/>
  <c r="J484" i="20"/>
  <c r="J490" i="20"/>
  <c r="M491" i="20"/>
  <c r="L491" i="20"/>
  <c r="M499" i="20"/>
  <c r="L499" i="20"/>
  <c r="M124" i="20"/>
  <c r="I50" i="20"/>
  <c r="I48" i="20" s="1"/>
  <c r="C55" i="24" s="1"/>
  <c r="C53" i="24" s="1"/>
  <c r="K161" i="20"/>
  <c r="M163" i="20"/>
  <c r="K67" i="20"/>
  <c r="L444" i="20"/>
  <c r="M444" i="20"/>
  <c r="L418" i="20"/>
  <c r="M418" i="20"/>
  <c r="L410" i="20"/>
  <c r="M413" i="20"/>
  <c r="L413" i="20"/>
  <c r="M396" i="20"/>
  <c r="L396" i="20"/>
  <c r="L328" i="20"/>
  <c r="M328" i="20"/>
  <c r="J301" i="20"/>
  <c r="L302" i="20"/>
  <c r="M302" i="20"/>
  <c r="L298" i="20"/>
  <c r="M298" i="20"/>
  <c r="L272" i="20"/>
  <c r="M272" i="20"/>
  <c r="K248" i="20"/>
  <c r="K247" i="20" s="1"/>
  <c r="L222" i="20"/>
  <c r="M222" i="20"/>
  <c r="M217" i="20"/>
  <c r="L217" i="20"/>
  <c r="J177" i="20"/>
  <c r="L178" i="20"/>
  <c r="M178" i="20"/>
  <c r="L173" i="20"/>
  <c r="M173" i="20"/>
  <c r="L158" i="20"/>
  <c r="M158" i="20"/>
  <c r="M153" i="20"/>
  <c r="L153" i="20"/>
  <c r="J50" i="20"/>
  <c r="M131" i="20"/>
  <c r="L131" i="20"/>
  <c r="J16" i="20"/>
  <c r="J15" i="20" s="1"/>
  <c r="D16" i="24"/>
  <c r="J19" i="20"/>
  <c r="D19" i="24"/>
  <c r="L432" i="20"/>
  <c r="M432" i="20"/>
  <c r="J425" i="20"/>
  <c r="J424" i="20" s="1"/>
  <c r="M430" i="20"/>
  <c r="L430" i="20"/>
  <c r="L426" i="20"/>
  <c r="M426" i="20"/>
  <c r="L285" i="20"/>
  <c r="M285" i="20"/>
  <c r="M282" i="20"/>
  <c r="L282" i="20"/>
  <c r="J277" i="20"/>
  <c r="J276" i="20" s="1"/>
  <c r="J275" i="20" s="1"/>
  <c r="L278" i="20"/>
  <c r="M278" i="20"/>
  <c r="M260" i="20"/>
  <c r="L260" i="20"/>
  <c r="L258" i="20"/>
  <c r="M258" i="20"/>
  <c r="M255" i="20"/>
  <c r="L255" i="20"/>
  <c r="J249" i="20"/>
  <c r="L250" i="20"/>
  <c r="M250" i="20"/>
  <c r="J20" i="20"/>
  <c r="D20" i="24"/>
  <c r="M73" i="20"/>
  <c r="L73" i="20"/>
  <c r="J82" i="20"/>
  <c r="M83" i="20"/>
  <c r="L83" i="20"/>
  <c r="J465" i="20"/>
  <c r="J458" i="20" s="1"/>
  <c r="M466" i="20"/>
  <c r="L466" i="20"/>
  <c r="J459" i="20"/>
  <c r="L460" i="20"/>
  <c r="M460" i="20"/>
  <c r="J453" i="20"/>
  <c r="L454" i="20"/>
  <c r="M454" i="20"/>
  <c r="J146" i="20"/>
  <c r="M147" i="20"/>
  <c r="L147" i="20"/>
  <c r="L137" i="20"/>
  <c r="M137" i="20"/>
  <c r="L135" i="20"/>
  <c r="M135" i="20"/>
  <c r="L102" i="20"/>
  <c r="M102" i="20"/>
  <c r="L97" i="20"/>
  <c r="M97" i="20"/>
  <c r="J77" i="20"/>
  <c r="L78" i="20"/>
  <c r="M78" i="20"/>
  <c r="J18" i="20"/>
  <c r="D18" i="24"/>
  <c r="L68" i="20"/>
  <c r="M68" i="20"/>
  <c r="L408" i="20"/>
  <c r="M408" i="20"/>
  <c r="J402" i="20"/>
  <c r="L403" i="20"/>
  <c r="M403" i="20"/>
  <c r="L237" i="20"/>
  <c r="M237" i="20"/>
  <c r="L234" i="20"/>
  <c r="M234" i="20"/>
  <c r="J228" i="20"/>
  <c r="J227" i="20" s="1"/>
  <c r="J226" i="20" s="1"/>
  <c r="L229" i="20"/>
  <c r="M229" i="20"/>
  <c r="M200" i="20"/>
  <c r="L202" i="20"/>
  <c r="M202" i="20"/>
  <c r="L197" i="20"/>
  <c r="M197" i="20"/>
  <c r="J190" i="20"/>
  <c r="J189" i="20" s="1"/>
  <c r="J188" i="20" s="1"/>
  <c r="L191" i="20"/>
  <c r="M191" i="20"/>
  <c r="J382" i="20"/>
  <c r="M382" i="20" s="1"/>
  <c r="L385" i="20"/>
  <c r="M385" i="20"/>
  <c r="L377" i="20"/>
  <c r="M377" i="20"/>
  <c r="J371" i="20"/>
  <c r="J370" i="20" s="1"/>
  <c r="M372" i="20"/>
  <c r="L372" i="20"/>
  <c r="J363" i="20"/>
  <c r="L364" i="20"/>
  <c r="M364" i="20"/>
  <c r="L342" i="20"/>
  <c r="L351" i="20"/>
  <c r="M351" i="20"/>
  <c r="M339" i="20"/>
  <c r="L339" i="20"/>
  <c r="L334" i="20"/>
  <c r="M334" i="20"/>
  <c r="L335" i="20"/>
  <c r="M335" i="20"/>
  <c r="J316" i="20"/>
  <c r="L318" i="20"/>
  <c r="M318" i="20"/>
  <c r="L313" i="20"/>
  <c r="M313" i="20"/>
  <c r="J307" i="20"/>
  <c r="J306" i="20" s="1"/>
  <c r="L308" i="20"/>
  <c r="M308" i="20"/>
  <c r="L91" i="20"/>
  <c r="M91" i="20"/>
  <c r="L70" i="20"/>
  <c r="M70" i="20"/>
  <c r="L80" i="20"/>
  <c r="M80" i="20"/>
  <c r="J8" i="20"/>
  <c r="L81" i="20"/>
  <c r="M81" i="20"/>
  <c r="K306" i="20"/>
  <c r="K305" i="20" s="1"/>
  <c r="I32" i="20"/>
  <c r="K189" i="20"/>
  <c r="K188" i="20" s="1"/>
  <c r="K134" i="20"/>
  <c r="K89" i="20"/>
  <c r="K79" i="20"/>
  <c r="J67" i="20"/>
  <c r="K451" i="20"/>
  <c r="J333" i="20"/>
  <c r="K276" i="20"/>
  <c r="K275" i="20" s="1"/>
  <c r="K32" i="20"/>
  <c r="K50" i="20"/>
  <c r="K48" i="20" s="1"/>
  <c r="E55" i="24" s="1"/>
  <c r="E53" i="24" s="1"/>
  <c r="J151" i="20"/>
  <c r="K151" i="20"/>
  <c r="J134" i="20"/>
  <c r="K100" i="20"/>
  <c r="K17" i="20"/>
  <c r="K14" i="20" s="1"/>
  <c r="K424" i="20"/>
  <c r="K421" i="20" s="1"/>
  <c r="K34" i="20"/>
  <c r="K33" i="20" s="1"/>
  <c r="K38" i="20"/>
  <c r="K36" i="20" s="1"/>
  <c r="K10" i="20"/>
  <c r="K7" i="20" s="1"/>
  <c r="J10" i="20"/>
  <c r="I41" i="20"/>
  <c r="I39" i="20" s="1"/>
  <c r="C61" i="24" s="1"/>
  <c r="C59" i="24" s="1"/>
  <c r="I425" i="20"/>
  <c r="I424" i="20" s="1"/>
  <c r="J305" i="20" l="1"/>
  <c r="I304" i="20"/>
  <c r="AA306" i="20" s="1"/>
  <c r="I88" i="20"/>
  <c r="I87" i="20" s="1"/>
  <c r="AA89" i="20" s="1"/>
  <c r="M161" i="20"/>
  <c r="K150" i="20"/>
  <c r="K149" i="20" s="1"/>
  <c r="K369" i="20"/>
  <c r="K366" i="20" s="1"/>
  <c r="I31" i="20"/>
  <c r="I30" i="20" s="1"/>
  <c r="K25" i="20"/>
  <c r="E39" i="24" s="1"/>
  <c r="I28" i="20"/>
  <c r="I450" i="20"/>
  <c r="I449" i="20" s="1"/>
  <c r="K450" i="20"/>
  <c r="K449" i="20" s="1"/>
  <c r="J34" i="20"/>
  <c r="M34" i="20" s="1"/>
  <c r="I366" i="20"/>
  <c r="AA367" i="20" s="1"/>
  <c r="M79" i="20"/>
  <c r="I61" i="20"/>
  <c r="I59" i="20" s="1"/>
  <c r="I55" i="20" s="1"/>
  <c r="I51" i="20" s="1"/>
  <c r="I275" i="20"/>
  <c r="I246" i="20" s="1"/>
  <c r="AA248" i="20" s="1"/>
  <c r="J32" i="20"/>
  <c r="L32" i="20" s="1"/>
  <c r="M410" i="20"/>
  <c r="L79" i="20"/>
  <c r="C38" i="24"/>
  <c r="C37" i="24" s="1"/>
  <c r="L38" i="20"/>
  <c r="J41" i="20"/>
  <c r="J39" i="20" s="1"/>
  <c r="D61" i="24" s="1"/>
  <c r="I17" i="20"/>
  <c r="I14" i="20" s="1"/>
  <c r="K31" i="20"/>
  <c r="K30" i="20" s="1"/>
  <c r="C17" i="24"/>
  <c r="C14" i="24" s="1"/>
  <c r="J17" i="20"/>
  <c r="J14" i="20" s="1"/>
  <c r="M474" i="20"/>
  <c r="L474" i="20"/>
  <c r="J140" i="20"/>
  <c r="L143" i="20"/>
  <c r="M143" i="20"/>
  <c r="L200" i="20"/>
  <c r="J489" i="20"/>
  <c r="L490" i="20"/>
  <c r="M490" i="20"/>
  <c r="J502" i="20"/>
  <c r="M503" i="20"/>
  <c r="L503" i="20"/>
  <c r="M38" i="20"/>
  <c r="L458" i="20"/>
  <c r="M484" i="20"/>
  <c r="L484" i="20"/>
  <c r="L181" i="20"/>
  <c r="M181" i="20"/>
  <c r="J513" i="20"/>
  <c r="L514" i="20"/>
  <c r="M514" i="20"/>
  <c r="I76" i="20"/>
  <c r="J494" i="20"/>
  <c r="M495" i="20"/>
  <c r="L495" i="20"/>
  <c r="L188" i="20"/>
  <c r="I29" i="20"/>
  <c r="C58" i="24" s="1"/>
  <c r="I187" i="20"/>
  <c r="AA189" i="20" s="1"/>
  <c r="J7" i="20"/>
  <c r="L382" i="20"/>
  <c r="M479" i="20"/>
  <c r="L479" i="20"/>
  <c r="L120" i="20"/>
  <c r="M120" i="20"/>
  <c r="J509" i="20"/>
  <c r="L510" i="20"/>
  <c r="M510" i="20"/>
  <c r="C31" i="24"/>
  <c r="C28" i="24" s="1"/>
  <c r="M425" i="20"/>
  <c r="L425" i="20"/>
  <c r="L301" i="20"/>
  <c r="M301" i="20"/>
  <c r="E58" i="24"/>
  <c r="L177" i="20"/>
  <c r="M177" i="20"/>
  <c r="J150" i="20"/>
  <c r="M151" i="20"/>
  <c r="L151" i="20"/>
  <c r="M152" i="20"/>
  <c r="L152" i="20"/>
  <c r="J48" i="20"/>
  <c r="L50" i="20"/>
  <c r="M50" i="20"/>
  <c r="K76" i="20"/>
  <c r="F19" i="24"/>
  <c r="G19" i="24"/>
  <c r="D33" i="24"/>
  <c r="D30" i="24"/>
  <c r="G30" i="24" s="1"/>
  <c r="G16" i="24"/>
  <c r="F16" i="24"/>
  <c r="D15" i="24"/>
  <c r="J421" i="20"/>
  <c r="M424" i="20"/>
  <c r="M275" i="20"/>
  <c r="M276" i="20"/>
  <c r="L276" i="20"/>
  <c r="L277" i="20"/>
  <c r="M277" i="20"/>
  <c r="J248" i="20"/>
  <c r="J24" i="20" s="1"/>
  <c r="M249" i="20"/>
  <c r="L249" i="20"/>
  <c r="D34" i="24"/>
  <c r="G20" i="24"/>
  <c r="F20" i="24"/>
  <c r="L82" i="20"/>
  <c r="M82" i="20"/>
  <c r="L465" i="20"/>
  <c r="M465" i="20"/>
  <c r="L459" i="20"/>
  <c r="M459" i="20"/>
  <c r="J452" i="20"/>
  <c r="M453" i="20"/>
  <c r="L453" i="20"/>
  <c r="J44" i="20"/>
  <c r="L146" i="20"/>
  <c r="M146" i="20"/>
  <c r="M36" i="20"/>
  <c r="L36" i="20"/>
  <c r="M134" i="20"/>
  <c r="L134" i="20"/>
  <c r="J25" i="20"/>
  <c r="D39" i="24" s="1"/>
  <c r="L100" i="20"/>
  <c r="M100" i="20"/>
  <c r="D32" i="24"/>
  <c r="F18" i="24"/>
  <c r="D17" i="24"/>
  <c r="G18" i="24"/>
  <c r="J76" i="20"/>
  <c r="M77" i="20"/>
  <c r="L77" i="20"/>
  <c r="J401" i="20"/>
  <c r="L402" i="20"/>
  <c r="M402" i="20"/>
  <c r="L226" i="20"/>
  <c r="M226" i="20"/>
  <c r="L227" i="20"/>
  <c r="M227" i="20"/>
  <c r="L228" i="20"/>
  <c r="M228" i="20"/>
  <c r="L189" i="20"/>
  <c r="M189" i="20"/>
  <c r="L190" i="20"/>
  <c r="M190" i="20"/>
  <c r="J380" i="20"/>
  <c r="M380" i="20" s="1"/>
  <c r="M370" i="20"/>
  <c r="L370" i="20"/>
  <c r="L371" i="20"/>
  <c r="M371" i="20"/>
  <c r="M342" i="20"/>
  <c r="L363" i="20"/>
  <c r="M363" i="20"/>
  <c r="J332" i="20"/>
  <c r="L333" i="20"/>
  <c r="M333" i="20"/>
  <c r="J28" i="20"/>
  <c r="L316" i="20"/>
  <c r="M316" i="20"/>
  <c r="L306" i="20"/>
  <c r="M306" i="20"/>
  <c r="M307" i="20"/>
  <c r="L307" i="20"/>
  <c r="L90" i="20"/>
  <c r="M90" i="20"/>
  <c r="L67" i="20"/>
  <c r="M67" i="20"/>
  <c r="K28" i="20"/>
  <c r="K27" i="20" s="1"/>
  <c r="K246" i="20"/>
  <c r="K88" i="20"/>
  <c r="K87" i="20" s="1"/>
  <c r="K61" i="20"/>
  <c r="K59" i="20" s="1"/>
  <c r="K304" i="20"/>
  <c r="K187" i="20"/>
  <c r="K24" i="20"/>
  <c r="J88" i="20"/>
  <c r="I421" i="20"/>
  <c r="I34" i="20"/>
  <c r="I33" i="20" s="1"/>
  <c r="J33" i="20" l="1"/>
  <c r="L33" i="20" s="1"/>
  <c r="M32" i="20"/>
  <c r="C75" i="24"/>
  <c r="C73" i="24" s="1"/>
  <c r="C71" i="24" s="1"/>
  <c r="M458" i="20"/>
  <c r="J451" i="20"/>
  <c r="L451" i="20" s="1"/>
  <c r="L275" i="20"/>
  <c r="L41" i="20"/>
  <c r="M41" i="20"/>
  <c r="I23" i="20"/>
  <c r="J187" i="20"/>
  <c r="I86" i="20"/>
  <c r="I84" i="20" s="1"/>
  <c r="M188" i="20"/>
  <c r="I27" i="20"/>
  <c r="I26" i="20" s="1"/>
  <c r="J64" i="20"/>
  <c r="M513" i="20"/>
  <c r="L513" i="20"/>
  <c r="M489" i="20"/>
  <c r="L489" i="20"/>
  <c r="J139" i="20"/>
  <c r="J87" i="20" s="1"/>
  <c r="L140" i="20"/>
  <c r="M140" i="20"/>
  <c r="L424" i="20"/>
  <c r="L494" i="20"/>
  <c r="M494" i="20"/>
  <c r="J501" i="20"/>
  <c r="M502" i="20"/>
  <c r="L502" i="20"/>
  <c r="J29" i="20"/>
  <c r="D58" i="24" s="1"/>
  <c r="G58" i="24" s="1"/>
  <c r="L34" i="20"/>
  <c r="J508" i="20"/>
  <c r="M509" i="20"/>
  <c r="L509" i="20"/>
  <c r="C57" i="24"/>
  <c r="C56" i="24" s="1"/>
  <c r="K55" i="20"/>
  <c r="K51" i="20" s="1"/>
  <c r="E75" i="24"/>
  <c r="E73" i="24" s="1"/>
  <c r="E71" i="24" s="1"/>
  <c r="J369" i="20"/>
  <c r="L369" i="20" s="1"/>
  <c r="D59" i="24"/>
  <c r="F61" i="24"/>
  <c r="G61" i="24"/>
  <c r="E57" i="24"/>
  <c r="E56" i="24" s="1"/>
  <c r="M35" i="20"/>
  <c r="L35" i="20"/>
  <c r="J149" i="20"/>
  <c r="M150" i="20"/>
  <c r="L150" i="20"/>
  <c r="D55" i="24"/>
  <c r="L48" i="20"/>
  <c r="M48" i="20"/>
  <c r="K23" i="20"/>
  <c r="E38" i="24"/>
  <c r="E37" i="24" s="1"/>
  <c r="G15" i="24"/>
  <c r="F15" i="24"/>
  <c r="G33" i="24"/>
  <c r="F33" i="24"/>
  <c r="F30" i="24"/>
  <c r="D29" i="24"/>
  <c r="L421" i="20"/>
  <c r="M421" i="20"/>
  <c r="L248" i="20"/>
  <c r="M248" i="20"/>
  <c r="J247" i="20"/>
  <c r="G34" i="24"/>
  <c r="F34" i="24"/>
  <c r="J58" i="20"/>
  <c r="L452" i="20"/>
  <c r="M452" i="20"/>
  <c r="J42" i="20"/>
  <c r="M44" i="20"/>
  <c r="L44" i="20"/>
  <c r="G39" i="24"/>
  <c r="F39" i="24"/>
  <c r="J23" i="20"/>
  <c r="D38" i="24"/>
  <c r="G17" i="24"/>
  <c r="D14" i="24"/>
  <c r="F17" i="24"/>
  <c r="L76" i="20"/>
  <c r="M76" i="20"/>
  <c r="G32" i="24"/>
  <c r="F32" i="24"/>
  <c r="D31" i="24"/>
  <c r="L401" i="20"/>
  <c r="M401" i="20"/>
  <c r="J400" i="20"/>
  <c r="J31" i="20"/>
  <c r="J30" i="20" s="1"/>
  <c r="L380" i="20"/>
  <c r="L39" i="20"/>
  <c r="M39" i="20"/>
  <c r="M332" i="20"/>
  <c r="L332" i="20"/>
  <c r="M305" i="20"/>
  <c r="L305" i="20"/>
  <c r="J304" i="20"/>
  <c r="L88" i="20"/>
  <c r="M88" i="20"/>
  <c r="M89" i="20"/>
  <c r="L89" i="20"/>
  <c r="K86" i="20"/>
  <c r="K84" i="20" s="1"/>
  <c r="K26" i="20"/>
  <c r="M33" i="20" l="1"/>
  <c r="M451" i="20"/>
  <c r="C36" i="24"/>
  <c r="C35" i="24" s="1"/>
  <c r="J450" i="20"/>
  <c r="L450" i="20" s="1"/>
  <c r="M369" i="20"/>
  <c r="J27" i="20"/>
  <c r="J26" i="20" s="1"/>
  <c r="J366" i="20"/>
  <c r="I22" i="20"/>
  <c r="I21" i="20" s="1"/>
  <c r="L187" i="20"/>
  <c r="M187" i="20"/>
  <c r="F58" i="24"/>
  <c r="I85" i="20"/>
  <c r="J54" i="20"/>
  <c r="L508" i="20"/>
  <c r="M508" i="20"/>
  <c r="J63" i="20"/>
  <c r="M64" i="20"/>
  <c r="L64" i="20"/>
  <c r="J47" i="20"/>
  <c r="L139" i="20"/>
  <c r="M139" i="20"/>
  <c r="M501" i="20"/>
  <c r="L501" i="20"/>
  <c r="J61" i="20"/>
  <c r="G59" i="24"/>
  <c r="F59" i="24"/>
  <c r="E36" i="24"/>
  <c r="E35" i="24" s="1"/>
  <c r="D57" i="24"/>
  <c r="M149" i="20"/>
  <c r="L149" i="20"/>
  <c r="D53" i="24"/>
  <c r="G55" i="24"/>
  <c r="F55" i="24"/>
  <c r="K22" i="20"/>
  <c r="K21" i="20" s="1"/>
  <c r="G29" i="24"/>
  <c r="F29" i="24"/>
  <c r="L247" i="20"/>
  <c r="M247" i="20"/>
  <c r="J246" i="20"/>
  <c r="J56" i="20"/>
  <c r="M58" i="20"/>
  <c r="L58" i="20"/>
  <c r="D46" i="24"/>
  <c r="M42" i="20"/>
  <c r="L42" i="20"/>
  <c r="G38" i="24"/>
  <c r="F38" i="24"/>
  <c r="D37" i="24"/>
  <c r="F31" i="24"/>
  <c r="D28" i="24"/>
  <c r="G31" i="24"/>
  <c r="G14" i="24"/>
  <c r="F14" i="24"/>
  <c r="J399" i="20"/>
  <c r="L400" i="20"/>
  <c r="M400" i="20"/>
  <c r="M304" i="20"/>
  <c r="L304" i="20"/>
  <c r="M87" i="20"/>
  <c r="L87" i="20"/>
  <c r="K85" i="20"/>
  <c r="J449" i="20" l="1"/>
  <c r="L449" i="20" s="1"/>
  <c r="M450" i="20"/>
  <c r="L366" i="20"/>
  <c r="M366" i="20"/>
  <c r="M61" i="20"/>
  <c r="L61" i="20"/>
  <c r="J59" i="20"/>
  <c r="J55" i="20" s="1"/>
  <c r="J62" i="20"/>
  <c r="M63" i="20"/>
  <c r="L63" i="20"/>
  <c r="J45" i="20"/>
  <c r="J22" i="20" s="1"/>
  <c r="L47" i="20"/>
  <c r="M47" i="20"/>
  <c r="J86" i="20"/>
  <c r="J52" i="20"/>
  <c r="M54" i="20"/>
  <c r="L54" i="20"/>
  <c r="D56" i="24"/>
  <c r="G57" i="24"/>
  <c r="F57" i="24"/>
  <c r="G53" i="24"/>
  <c r="F53" i="24"/>
  <c r="L246" i="20"/>
  <c r="M246" i="20"/>
  <c r="M449" i="20"/>
  <c r="D74" i="24"/>
  <c r="M56" i="20"/>
  <c r="L56" i="20"/>
  <c r="F46" i="24"/>
  <c r="D40" i="24"/>
  <c r="G46" i="24"/>
  <c r="G37" i="24"/>
  <c r="F37" i="24"/>
  <c r="G28" i="24"/>
  <c r="F28" i="24"/>
  <c r="L399" i="20"/>
  <c r="M399" i="20"/>
  <c r="N307" i="20"/>
  <c r="P7" i="20"/>
  <c r="Q7" i="20"/>
  <c r="P8" i="20"/>
  <c r="Q8" i="20"/>
  <c r="P10" i="20"/>
  <c r="Q10" i="20"/>
  <c r="P11" i="20"/>
  <c r="Q11" i="20"/>
  <c r="P13" i="20"/>
  <c r="Q13" i="20"/>
  <c r="P14" i="20"/>
  <c r="Q14" i="20"/>
  <c r="P16" i="20"/>
  <c r="Q16" i="20"/>
  <c r="P17" i="20"/>
  <c r="Q17" i="20"/>
  <c r="P18" i="20"/>
  <c r="Q18" i="20"/>
  <c r="P19" i="20"/>
  <c r="Q19" i="20"/>
  <c r="Q20" i="20"/>
  <c r="P21" i="20"/>
  <c r="Q21" i="20"/>
  <c r="P22" i="20"/>
  <c r="Q22" i="20"/>
  <c r="N80" i="20"/>
  <c r="N31" i="20"/>
  <c r="J84" i="20" l="1"/>
  <c r="M84" i="20" s="1"/>
  <c r="J85" i="20"/>
  <c r="L85" i="20" s="1"/>
  <c r="L86" i="20"/>
  <c r="M86" i="20"/>
  <c r="D49" i="24"/>
  <c r="L45" i="20"/>
  <c r="M45" i="20"/>
  <c r="M59" i="20"/>
  <c r="D75" i="24"/>
  <c r="D73" i="24" s="1"/>
  <c r="L59" i="20"/>
  <c r="M62" i="20"/>
  <c r="L62" i="20"/>
  <c r="P20" i="20"/>
  <c r="D72" i="24"/>
  <c r="L52" i="20"/>
  <c r="M52" i="20"/>
  <c r="G56" i="24"/>
  <c r="F56" i="24"/>
  <c r="F74" i="24"/>
  <c r="G74" i="24"/>
  <c r="J51" i="20"/>
  <c r="L55" i="20"/>
  <c r="M55" i="20"/>
  <c r="G40" i="24"/>
  <c r="F40" i="24"/>
  <c r="Q15" i="20"/>
  <c r="Q9" i="20"/>
  <c r="P9" i="20"/>
  <c r="P15" i="20"/>
  <c r="Q12" i="20"/>
  <c r="Q6" i="20"/>
  <c r="P12" i="20"/>
  <c r="P6" i="20"/>
  <c r="L84" i="20" l="1"/>
  <c r="M85" i="20"/>
  <c r="F72" i="24"/>
  <c r="G72" i="24"/>
  <c r="G75" i="24"/>
  <c r="F75" i="24"/>
  <c r="D47" i="24"/>
  <c r="G49" i="24"/>
  <c r="L51" i="20"/>
  <c r="M51" i="20"/>
  <c r="J21" i="20"/>
  <c r="D71" i="24"/>
  <c r="G73" i="24"/>
  <c r="F73" i="24"/>
  <c r="P23" i="20"/>
  <c r="G47" i="24" l="1"/>
  <c r="F47" i="24"/>
  <c r="G71" i="24"/>
  <c r="F71" i="24"/>
  <c r="D36" i="24"/>
  <c r="P25" i="20"/>
  <c r="Q25" i="20"/>
  <c r="P27" i="20"/>
  <c r="Q27" i="20"/>
  <c r="F36" i="24" l="1"/>
  <c r="G36" i="24"/>
  <c r="D35" i="24"/>
  <c r="S27" i="20"/>
  <c r="S25" i="20"/>
  <c r="G35" i="24" l="1"/>
  <c r="F35" i="24"/>
  <c r="S14" i="20"/>
  <c r="S19" i="20"/>
  <c r="Q28" i="20"/>
  <c r="S16" i="20"/>
  <c r="P28" i="20"/>
  <c r="Q26" i="20" l="1"/>
  <c r="Q24" i="20" s="1"/>
  <c r="P26" i="20"/>
  <c r="S10" i="20"/>
  <c r="S13" i="20"/>
  <c r="S8" i="20"/>
  <c r="Q23" i="20"/>
  <c r="S12" i="20" l="1"/>
  <c r="P24" i="20"/>
  <c r="S24" i="20" s="1"/>
  <c r="S26" i="20"/>
  <c r="S15" i="20"/>
  <c r="S17" i="20"/>
  <c r="S11" i="20" l="1"/>
  <c r="S22" i="20"/>
  <c r="S18" i="20"/>
  <c r="S21" i="20"/>
  <c r="S9" i="20" l="1"/>
  <c r="S7" i="20"/>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M24" i="20" l="1"/>
  <c r="M27" i="20"/>
  <c r="M26" i="20"/>
  <c r="S6" i="20"/>
  <c r="S23" i="20"/>
  <c r="O17" i="20"/>
  <c r="R17" i="20" s="1"/>
  <c r="M25" i="20" l="1"/>
  <c r="O14" i="20"/>
  <c r="O18" i="20"/>
  <c r="R18" i="20" s="1"/>
  <c r="O20" i="20"/>
  <c r="L30" i="20"/>
  <c r="L31" i="20"/>
  <c r="R20" i="20" l="1"/>
  <c r="O8" i="20"/>
  <c r="O16" i="20"/>
  <c r="O11" i="20"/>
  <c r="R11" i="20" s="1"/>
  <c r="R14" i="20"/>
  <c r="O21" i="20"/>
  <c r="O19" i="20"/>
  <c r="O13" i="20"/>
  <c r="O10" i="20" l="1"/>
  <c r="N114" i="20"/>
  <c r="O12" i="20"/>
  <c r="R12" i="20" s="1"/>
  <c r="R13" i="20"/>
  <c r="R21" i="20"/>
  <c r="O15" i="20"/>
  <c r="R16" i="20"/>
  <c r="R8" i="20"/>
  <c r="O27" i="20"/>
  <c r="O28" i="20"/>
  <c r="L29" i="20"/>
  <c r="O7" i="20"/>
  <c r="R19" i="20"/>
  <c r="R10" i="20" l="1"/>
  <c r="N283" i="20"/>
  <c r="N200" i="20"/>
  <c r="O9" i="20"/>
  <c r="R9" i="20" s="1"/>
  <c r="O6" i="20"/>
  <c r="R6" i="20" s="1"/>
  <c r="R7" i="20"/>
  <c r="O26" i="20"/>
  <c r="R26" i="20" s="1"/>
  <c r="R27" i="20"/>
  <c r="N158" i="20"/>
  <c r="R15" i="20"/>
  <c r="O25" i="20"/>
  <c r="O22" i="20"/>
  <c r="N258"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R23" i="20"/>
  <c r="L25" i="20"/>
  <c r="L26" i="20"/>
  <c r="L24" i="20"/>
  <c r="I63" i="23"/>
  <c r="I30" i="23"/>
  <c r="J33" i="23"/>
  <c r="I175" i="23"/>
  <c r="J175" i="23" s="1"/>
  <c r="I26" i="23"/>
  <c r="I25" i="23" l="1"/>
  <c r="I24" i="23" s="1"/>
  <c r="K24" i="23" s="1"/>
  <c r="I62" i="23"/>
  <c r="J63" i="23"/>
  <c r="K62" i="23" l="1"/>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<sst xmlns="http://schemas.openxmlformats.org/spreadsheetml/2006/main" count="2171" uniqueCount="776">
  <si>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</si>
  <si>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</si>
  <si>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</si>
  <si>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</si>
  <si>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</si>
  <si>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</si>
  <si>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</si>
  <si>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</si>
  <si>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</si>
  <si>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</si>
  <si>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</si>
  <si>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</si>
  <si>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</si>
  <si>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</si>
  <si>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</si>
  <si>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</si>
  <si>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</si>
  <si>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</si>
  <si>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</si>
  <si>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</si>
  <si>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</si>
  <si>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</si>
  <si>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</si>
  <si>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</si>
  <si>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</si>
  <si>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</si>
  <si>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</si>
  <si>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</si>
  <si>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</si>
  <si>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</si>
  <si>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</si>
  <si>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</si>
  <si>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</si>
  <si>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</si>
  <si>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</si>
  <si>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</si>
  <si>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</si>
  <si>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</si>
  <si>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</si>
  <si>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</si>
  <si>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</si>
  <si>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</si>
  <si>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</si>
  <si>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</si>
  <si>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</si>
  <si>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</si>
  <si>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</si>
  <si>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</si>
  <si>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</si>
  <si>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</si>
  <si>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</si>
  <si>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</si>
  <si>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</si>
  <si>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</si>
  <si>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</si>
  <si>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</si>
  <si>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</si>
  <si>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</si>
  <si>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</si>
  <si>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</si>
  <si>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</si>
  <si>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</si>
  <si>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</si>
  <si>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</si>
  <si>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</si>
  <si>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</si>
  <si>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</si>
  <si>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</si>
  <si>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</si>
  <si>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</si>
  <si>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</si>
  <si>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</si>
  <si>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</si>
  <si>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</si>
  <si>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</si>
  <si>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</si>
  <si>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</si>
  <si>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</si>
  <si>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</si>
  <si>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</si>
  <si>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</si>
  <si>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</si>
  <si>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</si>
  <si>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</si>
  <si>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</si>
  <si>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</si>
  <si>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</si>
  <si>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</si>
  <si>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</si>
  <si>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</si>
  <si>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</si>
  <si>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</si>
  <si>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</si>
  <si>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</si>
  <si>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</si>
  <si>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</si>
  <si>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</si>
  <si>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</si>
  <si>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</si>
  <si>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</si>
  <si>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</si>
  <si>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</si>
  <si>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</si>
  <si>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</si>
  <si>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</si>
  <si>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</si>
  <si>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</si>
  <si>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</si>
  <si>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</si>
  <si>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</si>
  <si>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</si>
  <si>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</si>
  <si>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</si>
  <si>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</si>
  <si>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</si>
  <si>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</si>
  <si>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</si>
  <si>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</si>
  <si>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</si>
  <si>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</si>
  <si>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</si>
  <si>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</si>
  <si>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</si>
  <si>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</si>
  <si>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</si>
  <si>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</si>
  <si>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</si>
  <si>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</si>
  <si>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</si>
  <si>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</si>
  <si>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</si>
  <si>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</si>
  <si>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</si>
  <si>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</si>
  <si>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</si>
  <si>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</si>
  <si>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</si>
  <si>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</si>
  <si>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</si>
  <si>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</si>
  <si>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</si>
  <si>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</si>
  <si>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</si>
  <si>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</si>
  <si>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</si>
  <si>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</si>
  <si>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</si>
  <si>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</si>
  <si>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</si>
  <si>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</si>
  <si>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</si>
  <si>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</si>
  <si>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</si>
  <si>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</si>
  <si>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</si>
  <si>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</si>
  <si>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</si>
  <si>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</si>
  <si>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</si>
  <si>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</si>
  <si>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</si>
  <si>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</si>
  <si>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</si>
  <si>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</si>
  <si>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</si>
  <si>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</si>
  <si>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</si>
  <si>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</si>
  <si>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</si>
  <si>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</si>
  <si>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</si>
  <si>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</si>
  <si>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</si>
  <si>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</si>
  <si>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</si>
  <si>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</si>
  <si>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</si>
  <si>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</si>
  <si>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</si>
  <si>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</si>
  <si>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</si>
  <si>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</si>
  <si>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</si>
  <si>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</si>
  <si>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</si>
  <si>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</si>
  <si>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</si>
  <si>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</si>
  <si>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</si>
  <si>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</si>
  <si>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</si>
  <si>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</si>
  <si>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</si>
  <si>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</si>
  <si>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</si>
  <si>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</si>
  <si>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</si>
  <si>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</si>
  <si>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</si>
  <si>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</si>
  <si>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</si>
  <si>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</si>
  <si>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</si>
  <si>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</si>
  <si>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</si>
  <si>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</si>
  <si>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</si>
  <si>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</si>
  <si>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</si>
  <si>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</si>
  <si>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</si>
  <si>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</si>
  <si>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</si>
  <si>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</si>
  <si>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</si>
  <si>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</si>
  <si>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</si>
  <si>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</si>
  <si>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</si>
  <si>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</si>
  <si>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</si>
  <si>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</si>
  <si>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</si>
  <si>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</si>
  <si>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</si>
  <si>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</si>
  <si>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</si>
  <si>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</si>
  <si>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</si>
  <si>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</si>
  <si>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</si>
  <si>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</si>
  <si>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</si>
  <si>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</si>
  <si>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</si>
  <si>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</si>
  <si>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</si>
  <si>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</si>
  <si>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</si>
  <si>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</si>
  <si>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</si>
  <si>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</si>
  <si>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</si>
  <si>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</si>
  <si>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</si>
  <si>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</si>
  <si>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</si>
  <si>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</si>
  <si>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</si>
  <si>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</si>
  <si>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</si>
  <si>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</si>
  <si>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</si>
  <si>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</si>
  <si>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</si>
  <si>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</si>
  <si>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</si>
  <si>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</si>
  <si>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</si>
  <si>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</si>
  <si>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</si>
  <si>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</si>
  <si>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</si>
  <si>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</si>
  <si>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</si>
  <si>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</si>
  <si>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</si>
  <si>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</si>
  <si>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</si>
  <si>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</si>
  <si>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</si>
  <si>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</si>
  <si>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</si>
  <si>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</si>
  <si>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</si>
  <si>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</si>
  <si>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</si>
  <si>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</si>
  <si>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</si>
  <si>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</si>
  <si>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</si>
  <si>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</si>
  <si>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</si>
  <si>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</si>
  <si>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</si>
  <si>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</si>
  <si>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</si>
  <si>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</si>
  <si>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</si>
  <si>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</si>
  <si>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</si>
  <si>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</si>
  <si>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</si>
  <si>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</si>
  <si>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</si>
  <si>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</si>
  <si>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</si>
  <si>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</si>
  <si>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</si>
  <si>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</si>
  <si>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</si>
  <si>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</si>
  <si>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</si>
  <si>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</si>
  <si>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</si>
  <si>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</si>
  <si>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</si>
  <si>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</si>
  <si>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</si>
  <si>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</si>
  <si>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</si>
  <si>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</si>
  <si>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</si>
  <si>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</si>
  <si>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</si>
  <si>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</si>
  <si>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</si>
  <si>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</si>
  <si>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</si>
  <si>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</si>
  <si>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</si>
  <si>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</si>
  <si>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</si>
  <si>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</si>
  <si>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</si>
  <si>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</si>
  <si>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</si>
  <si>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</si>
  <si>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</si>
  <si>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</si>
  <si>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</si>
  <si>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</si>
  <si>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</si>
  <si>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</si>
  <si>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</si>
  <si>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</si>
  <si>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</si>
  <si>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</si>
  <si>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</si>
  <si>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</si>
  <si>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</si>
  <si>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</si>
  <si>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</si>
  <si>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</si>
  <si>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</si>
  <si>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</si>
  <si>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</si>
  <si>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</si>
  <si>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</si>
  <si>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</si>
  <si>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</si>
  <si>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</si>
  <si>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</si>
  <si>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</si>
  <si>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</si>
  <si>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</si>
  <si>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</si>
  <si>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</si>
  <si>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</si>
  <si>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</si>
  <si>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</si>
  <si>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</si>
  <si>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</si>
  <si>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</si>
  <si>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</si>
  <si>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</si>
  <si>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</si>
  <si>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</si>
  <si>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</si>
  <si>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</si>
  <si>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</si>
  <si>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</si>
  <si>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</si>
  <si>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</si>
  <si>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</si>
  <si>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</si>
  <si>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</si>
  <si>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</si>
  <si>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</si>
  <si>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</si>
  <si>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</si>
  <si>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</si>
  <si>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</si>
  <si>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</si>
  <si>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</si>
  <si>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</si>
  <si>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</si>
  <si>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</si>
  <si>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</si>
  <si>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</si>
  <si>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</si>
  <si>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</si>
  <si>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</si>
  <si>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</si>
  <si>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</si>
  <si>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</si>
  <si>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</si>
  <si>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</si>
  <si>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</si>
  <si>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</si>
  <si>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</si>
  <si>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</si>
  <si>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</si>
  <si>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</si>
  <si>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</si>
  <si>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</si>
  <si>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</si>
  <si>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</si>
  <si>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</si>
  <si>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</si>
  <si>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</si>
  <si>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</si>
  <si>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</si>
  <si>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</si>
  <si>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</si>
  <si>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</si>
  <si>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</si>
  <si>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</si>
  <si>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</si>
  <si>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</si>
  <si>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</si>
  <si>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</si>
  <si>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</si>
  <si>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</si>
  <si>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</si>
  <si>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</si>
  <si>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</si>
  <si>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</si>
  <si>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</si>
  <si>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</si>
  <si>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</si>
  <si>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</si>
  <si>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</si>
  <si>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</si>
  <si>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</si>
  <si>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</si>
  <si>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</si>
  <si>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</si>
  <si>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</si>
  <si>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</si>
  <si>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</si>
  <si>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</si>
  <si>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</si>
  <si>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</si>
  <si>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</si>
  <si>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</si>
  <si>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</si>
  <si>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</si>
  <si>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</si>
  <si>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</si>
  <si>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</si>
  <si>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</si>
  <si>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</si>
  <si>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</si>
  <si>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</si>
  <si>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</si>
  <si>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</si>
  <si>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</si>
  <si>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</si>
  <si>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</si>
  <si>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</si>
  <si>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</si>
  <si>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</si>
  <si>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</si>
  <si>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</si>
  <si>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</si>
  <si>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</si>
  <si>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</si>
  <si>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</si>
  <si>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</si>
  <si>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</si>
  <si>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</si>
  <si>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</si>
  <si>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</si>
  <si>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</si>
  <si>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</si>
  <si>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</si>
  <si>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</si>
  <si>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</si>
  <si>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</si>
  <si>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</si>
  <si>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</si>
  <si>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</si>
  <si>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</si>
  <si>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</si>
  <si>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</si>
  <si>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</si>
  <si>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</si>
  <si>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</si>
  <si>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</si>
  <si>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</si>
  <si>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</si>
  <si>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</si>
  <si>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</si>
  <si>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</si>
  <si>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</si>
  <si>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</si>
  <si>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</si>
  <si>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</si>
  <si>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</si>
  <si>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</si>
  <si>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</si>
  <si>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</si>
  <si>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</si>
  <si>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</si>
  <si>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</si>
  <si>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</si>
  <si>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</si>
  <si>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</si>
  <si>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</si>
  <si>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</si>
  <si>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</si>
  <si>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</si>
  <si>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</si>
  <si>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</si>
  <si>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</si>
  <si>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</si>
  <si>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</si>
  <si>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</si>
  <si>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</si>
  <si>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</si>
  <si>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</si>
  <si>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</si>
  <si>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</si>
  <si>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</si>
  <si>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</si>
  <si>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</si>
  <si>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</si>
  <si>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</si>
  <si>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</si>
  <si>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</si>
  <si>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</si>
  <si>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</si>
  <si>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</si>
  <si>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</si>
  <si>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</si>
  <si>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</si>
  <si>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</si>
  <si>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</si>
  <si>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</si>
  <si>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</si>
  <si>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</si>
  <si>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</si>
  <si>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</si>
  <si>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</si>
  <si>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</si>
  <si>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</si>
  <si>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</si>
  <si>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</si>
  <si>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</si>
  <si>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</si>
  <si>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</si>
  <si>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</si>
  <si>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</si>
  <si>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</si>
  <si>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</si>
  <si>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</si>
  <si>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</si>
  <si>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</si>
  <si>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</si>
  <si>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</si>
  <si>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</si>
  <si>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</si>
  <si>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</si>
  <si>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</si>
  <si>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</si>
  <si>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</si>
  <si>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</si>
  <si>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</si>
  <si>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</si>
  <si>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</si>
  <si>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</si>
  <si>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</si>
  <si>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</si>
  <si>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</si>
  <si>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</si>
  <si>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</si>
  <si>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</si>
  <si>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</si>
  <si>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</si>
  <si>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</si>
  <si>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</si>
  <si>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</si>
  <si>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</si>
  <si>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</si>
  <si>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</si>
  <si>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</si>
  <si>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</si>
  <si>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</si>
  <si>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</si>
  <si>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</si>
  <si>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</si>
  <si>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</si>
  <si>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</si>
  <si>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</si>
  <si>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</si>
  <si>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</si>
  <si>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</si>
  <si>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</si>
  <si>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</si>
  <si>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</si>
  <si>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</si>
  <si>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</si>
  <si>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</si>
  <si>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</si>
  <si>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</si>
  <si>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</si>
  <si>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</si>
  <si>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</si>
  <si>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</si>
  <si>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</si>
  <si>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</si>
  <si>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</si>
  <si>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</si>
  <si>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</si>
  <si>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</si>
  <si>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</si>
  <si>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</si>
  <si>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</si>
  <si>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</si>
  <si>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</si>
  <si>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</si>
  <si>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</si>
  <si>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</si>
  <si>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</si>
  <si>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</si>
  <si>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</si>
  <si>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</si>
  <si>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</si>
  <si>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</si>
  <si>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</si>
  <si>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</si>
  <si>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</si>
  <si>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</si>
  <si>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</si>
  <si>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</si>
  <si>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</si>
  <si>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</si>
  <si>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</si>
  <si>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</si>
  <si>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</si>
  <si>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</si>
  <si>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</si>
  <si>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</si>
  <si>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</si>
  <si>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</si>
  <si>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</si>
  <si>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</si>
  <si>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</si>
  <si>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</si>
  <si>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</si>
  <si>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</si>
  <si>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</si>
  <si>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</si>
  <si>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</si>
  <si>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</si>
  <si>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</si>
  <si>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</si>
  <si>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</si>
  <si>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</si>
  <si>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</si>
  <si>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</si>
  <si>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</si>
  <si>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</si>
  <si>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</si>
  <si>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</si>
  <si>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</si>
  <si>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</si>
  <si>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</si>
  <si>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</si>
  <si>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</si>
  <si>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</si>
  <si>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</si>
  <si>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</si>
  <si>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</si>
  <si>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</si>
  <si>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</si>
  <si>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</si>
  <si>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</si>
  <si>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</si>
  <si>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</si>
  <si>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</si>
  <si>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</si>
  <si>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</si>
  <si>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Kinh phí không thực hiện chế độ tự chủ. (Nguồn 12) Bao gồm:</t>
  </si>
  <si>
    <t>- Kinh phí chi trả chế độ nghỉ hưu theo Nghị định 108/2014/NĐ-CP, Nghị định 113/2018/NĐ-CP, Nghị định 143/2020/NĐ-CP của Chính phủ cho Ông Trần Thanh Nhã</t>
  </si>
  <si>
    <t>1.4</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</si>
  <si>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</si>
  <si>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</si>
  <si>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</si>
  <si>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</si>
  <si>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</si>
  <si>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</si>
  <si>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</si>
  <si>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</si>
  <si>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</si>
  <si>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</si>
  <si>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</si>
  <si>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</si>
  <si>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</si>
  <si>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</si>
  <si>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</si>
  <si>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</si>
  <si>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</si>
  <si>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</si>
  <si>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</si>
  <si>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</si>
  <si>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</si>
  <si>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3.3</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</si>
  <si>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</si>
  <si>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</si>
  <si>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</si>
  <si>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</si>
  <si>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</si>
  <si>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</si>
  <si>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</si>
  <si>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</si>
  <si>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</si>
  <si>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</si>
  <si>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</si>
  <si>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</si>
  <si>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</si>
  <si>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</si>
  <si>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</si>
  <si>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</si>
  <si>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</si>
  <si>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</si>
  <si>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</si>
  <si>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</si>
  <si>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</si>
  <si>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</si>
  <si>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</si>
  <si>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</si>
  <si>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</si>
  <si>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</si>
  <si>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</si>
  <si>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</si>
  <si>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</si>
  <si>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</si>
  <si>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 xml:space="preserve">- Kinh phí chi trả chính sách nghỉ hưu trước tuổi theo Nghị định số 29/2023/NĐ-CP ngày 03/6/2023 của Chính phủ cho Ông Phạm Xuân Thành </t>
  </si>
  <si>
    <t>- Kinh phí chi trả chính sách nghỉ hưu trước tuổi theo Nghị định số 29/2023/NĐ-CP ngày 03/6/2023 của Chính phủ cho Ông Phan Thanh Quang</t>
  </si>
  <si>
    <t>- Kinh phí chi trả chính sách nghỉ hưu trước tuổi theo Nghị định số 29/2023/NĐ-CP ngày 03/6/2023 của Chính phủ cho Ông Nguyễn Tấn Phúc</t>
  </si>
  <si>
    <t xml:space="preserve">  + Chi quỹ lương theo mức lương cơ sở 2.340.000 đồng (46 biên chế) (Năm 2024 thực hiện nhu cầu tăng MLCS từ 1.800.000 đồng lên 2.340.000 đồng)</t>
  </si>
  <si>
    <t xml:space="preserve">  + Chi quỹ lương theo mức lương cơ sở 2.340.000 đồng (16 biên chế) (Năm 2024 thực hiện nhu cầu tăng MLCS từ 1.800.000 đồng lên 2.340.000 đồng (16 biên chế))</t>
  </si>
  <si>
    <t xml:space="preserve">  + Chi quỹ lương theo mức lương cơ sở 2.340.000 đồng (66 biên chế) </t>
  </si>
  <si>
    <t>- Chi quỹ lương đảm bảo mức lương cơ sở từ 1.800.000 đồng lên 2.340.000 đồng theo Nghị định số 73/2024/NĐ-CP của Chính phủ (Nguồn CCTL ngân sách tỉnh) (chuyển nguồn 2023 sang 2024)</t>
  </si>
  <si>
    <r>
      <t>- Kinh phí thực hiện công tác bảo quản vật chứng là 258,991 m</t>
    </r>
    <r>
      <rPr>
        <vertAlign val="superscript"/>
        <sz val="13"/>
        <rFont val="Times New Roman"/>
        <family val="1"/>
      </rPr>
      <t>3</t>
    </r>
    <r>
      <rPr>
        <sz val="13"/>
        <rFont val="Times New Roman"/>
        <family val="1"/>
      </rPr>
      <t xml:space="preserve"> gỗ tịch thu sung ngân sách nhà nước.</t>
    </r>
  </si>
  <si>
    <t xml:space="preserve">  + Chi quỹ lương theo mức lương cơ sở 2.340.000 đồng (20 biên chế) (Năm 2024 thực hiện nhu cầu tăng MLCS từ 1.800.000 đồng lên 2.340.000 đồng (20 biên chế))</t>
  </si>
  <si>
    <t xml:space="preserve">  + Chi quỹ lương theo mức lương cơ sở 2.340.000 đồng (15 biên chế)</t>
  </si>
  <si>
    <t xml:space="preserve">  + Chi quỹ lương theo mức lương cơ sở 2.340.000 đồng (38 biên chế) </t>
  </si>
  <si>
    <t>- Kinh phí chi trả chính sách trợ cấp thôi việc cho viên chức theo Nghị định số 115/2020/NĐ-CP ngày 25/9/2020 của Chính phủ cho Ông Nguyễn Hoàng Cương</t>
  </si>
  <si>
    <t xml:space="preserve">  + Chi quỹ lương theo mức lương cơ sở 2.340.000 đồng (16 biên chế)</t>
  </si>
  <si>
    <t xml:space="preserve">  + Chi quỹ lương theo mức lương cơ sở 2.340.000 đồng (48 biên chế) </t>
  </si>
  <si>
    <t>- Kinh phí thực hiện hỗ trợ thuốc và vật tư thú y cho Sở Nông nghiệp tỉnh Svay Rieng</t>
  </si>
  <si>
    <t xml:space="preserve">  + Chi quỹ lương theo mức lương cơ sở 2.340.000 đồng (47 biên chế)</t>
  </si>
  <si>
    <t xml:space="preserve">  + Chi quỹ lương theo mức lương cơ sở 2.340.000 đồng (33 biên chế) </t>
  </si>
  <si>
    <t>- Kinh phí thực hiện xử lý thực bì phòng chống cháy rừng</t>
  </si>
  <si>
    <t>- Kinh phí xây dựng văn bản quy phạm pháp luật năm 2024</t>
  </si>
  <si>
    <t>- Kinh phí chi trả chính sách nghỉ hưu trước tuổi theo Nghị định số 29/2023/NĐ-CP ngày 03/6/2023 của Chính phủ cho Ông Trần Bạch Phát</t>
  </si>
  <si>
    <t>Kinh phí không thực hiện chế độ tự chủ - Nguồn 15</t>
  </si>
  <si>
    <t>Chi sự nghiệp kinh tế (loại 280) - Kinh phí không thực hiện chế độ tự chủ (nguồn 15)</t>
  </si>
  <si>
    <t>Sự nghiệp thủy lợi (khoản 283)</t>
  </si>
  <si>
    <t>- Kinh phí hỗ trợ về giá nước sạch sinh hoạt nông thôn năm 2024</t>
  </si>
  <si>
    <t>Sự nghiệp kinh tế khác (khoản 338)</t>
  </si>
  <si>
    <t>Chi quản lý hành chính: Kinh phí không thực hiện chế độ tự chủ (Loại 340 - khoản 341, nguồn 15)</t>
  </si>
  <si>
    <t>Chi khen thưởng tập thể, cá nhân có thành tích xuất sắc trong phong trào thi đua “Tây Ninh chung sức xây dựng nông thôn mới”</t>
  </si>
  <si>
    <t>THỰC HIỆN KỲ BÁO CÁO QUÝ 4 NĂM 2024</t>
  </si>
  <si>
    <t>THỰC HIỆN CÙNG KỲ QUÝ 4 NĂM 2023</t>
  </si>
  <si>
    <r>
      <t xml:space="preserve">PHỤ LỤC
 BIỂU THU, CHI DỰ TOÁN NGÂN SÁCH NHÀ NƯỚC QUÝ 4 NĂM 2024
</t>
    </r>
    <r>
      <rPr>
        <i/>
        <sz val="13"/>
        <rFont val="Times New Roman"/>
        <family val="1"/>
      </rPr>
      <t>(kèm theo Báo cáo số           /BC-SNN ngày        tháng 01 năm 2025 của Sở Nông nghiệp và Phát triển nông thôn)</t>
    </r>
  </si>
  <si>
    <t>CÔNG KHAI THỰC HIỆN DỰ TOÁN THU - CHI NGÂN SÁCH QUÝ IV NĂM 2024</t>
  </si>
  <si>
    <t>Thực
hiện Quý IV năm 2024</t>
  </si>
  <si>
    <t>Ước thực hiện Quý IV/Dự toán năm (tỷ lệ %)</t>
  </si>
  <si>
    <t>Ước thực hiện Quý IV năm 2024 so với cùng kỳ năm 2023 
(tỷ lệ %)</t>
  </si>
  <si>
    <t xml:space="preserve">        Sở Nông nghiệp và Phát triển nông thôn công khai tình hình thực hiện dự toán thu - chi ngân sách Quý IV năm 2024, như sau:</t>
  </si>
  <si>
    <t xml:space="preserve"> - Chi quỹ lương đảm bảo mức lương cơ sở từ 1.490.000 đồng lên 1.800.000 đồng theo Nghị định số 24/2023/NĐ-CP của Chính phủ (Nguồn CCTL ngân sách tỉnh)</t>
  </si>
  <si>
    <t>Thực
hiện quý 4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</si>
</sst>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
      <b/>
      <sz val="11"/>
      <color theme="0"/>
      <name val="Times New Roman"/>
      <family val="1"/>
    </font>
    <font>
      <sz val="11"/>
      <color rgb="FF000000"/>
      <name val="TimesNewRomanPSMT"/>
    </font>
    <font>
      <sz val="12"/>
      <color rgb="FF000000"/>
      <name val="TimesNewRomanPSMT"/>
    </font>
    <font>
      <sz val="14"/>
      <color rgb="FF000000"/>
      <name val="TimesNewRomanPSMT"/>
    </font>
    <font>
      <b/>
      <i/>
      <sz val="14"/>
      <name val="Times New Roman"/>
      <family val="1"/>
      <charset val="163"/>
    </font>
    <font>
      <b/>
      <sz val="14"/>
      <name val="Times New Roman"/>
      <family val="1"/>
      <charset val="163"/>
    </font>
    <font>
      <b/>
      <sz val="13"/>
      <name val="Times New Roman"/>
      <family val="1"/>
      <charset val="163"/>
    </font>
    <font>
      <b/>
      <sz val="11"/>
      <name val="Times New Roman"/>
      <family val="1"/>
      <charset val="163"/>
    </font>
    <font>
      <sz val="13"/>
      <color theme="1"/>
      <name val="Times New Roman"/>
      <family val="1"/>
    </font>
    <font>
      <i/>
      <sz val="14"/>
      <color rgb="FFFF0000"/>
      <name val="Times New Roman"/>
      <family val="1"/>
    </font>
    <font>
      <sz val="12"/>
      <color rgb="FF0000FF"/>
      <name val="Times New Roman"/>
      <family val="1"/>
    </font>
    <font>
      <vertAlign val="superscript"/>
      <sz val="13"/>
      <name val="Times New Roman"/>
      <family val="1"/>
    </font>
    <font>
      <i/>
      <sz val="12"/>
      <color rgb="FFFF0000"/>
      <name val="Times New Roman"/>
      <family val="1"/>
    </font>
    <font>
      <i/>
      <sz val="11"/>
      <color rgb="FFFF0000"/>
      <name val="Times New Roman"/>
      <family val="1"/>
    </font>
    <font>
      <sz val="12"/>
      <name val="Times New Roman"/>
      <family val="1"/>
      <charset val="163"/>
    </font>
    <font>
      <sz val="11"/>
      <color rgb="FFFF0000"/>
      <name val="Times New Roman"/>
      <family val="1"/>
    </font>
    <font>
      <sz val="11"/>
      <name val="Times New Roman"/>
      <family val="1"/>
      <charset val="163"/>
    </font>
    <font>
      <b/>
      <i/>
      <sz val="13"/>
      <name val="Times New Roman"/>
      <family val="1"/>
      <charset val="163"/>
    </font>
    <font>
      <b/>
      <sz val="13"/>
      <color theme="0"/>
      <name val="Times New Roman"/>
      <family val="1"/>
      <charset val="163"/>
    </font>
    <font>
      <sz val="10"/>
      <color rgb="FF000000"/>
      <name val="TimesNewRomanPSMT"/>
    </font>
    <font>
      <sz val="12"/>
      <color theme="1"/>
      <name val="Times New Roman"/>
      <family val="1"/>
    </font>
  </fonts>
  <fills count="62">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9"/>
        <bgColor indexed="26"/>
      </patternFill>
    </fill>
  </fills>
  <borders count="3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rgb="FF000000"/>
      </left>
      <right style="medium">
        <color rgb="FF000000"/>
      </right>
      <top style="medium">
        <color rgb="FF000000"/>
      </top>
      <bottom style="medium">
        <color rgb="FF000000"/>
      </bottom>
      <diagonal/>
    </border>
  </borders>
  <cellStyleXfs count="1972">
    <xf numFmtId="0" fontId="0" fillId="0" borderId="0"/>
    <xf numFmtId="166" fontId="13" fillId="0" borderId="0" applyFont="0" applyFill="0" applyBorder="0" applyAlignment="0" applyProtection="0"/>
    <xf numFmtId="0" fontId="13" fillId="0" borderId="0"/>
    <xf numFmtId="0" fontId="13" fillId="0" borderId="0"/>
    <xf numFmtId="0" fontId="15" fillId="0" borderId="0"/>
    <xf numFmtId="43" fontId="17" fillId="0" borderId="0" applyFont="0" applyFill="0" applyBorder="0" applyAlignment="0" applyProtection="0"/>
    <xf numFmtId="0" fontId="61" fillId="0" borderId="0"/>
    <xf numFmtId="179" fontId="85" fillId="0" borderId="0" applyFont="0" applyFill="0" applyBorder="0" applyAlignment="0" applyProtection="0"/>
    <xf numFmtId="170" fontId="13" fillId="0" borderId="0" applyFont="0" applyFill="0" applyBorder="0" applyAlignment="0" applyProtection="0"/>
    <xf numFmtId="0" fontId="101" fillId="0" borderId="0" applyFont="0" applyFill="0" applyBorder="0" applyAlignment="0" applyProtection="0"/>
    <xf numFmtId="171" fontId="13" fillId="0" borderId="0" applyFont="0" applyFill="0" applyBorder="0" applyAlignment="0" applyProtection="0"/>
    <xf numFmtId="0" fontId="13" fillId="0" borderId="0" applyNumberFormat="0" applyFill="0" applyBorder="0" applyAlignment="0" applyProtection="0"/>
    <xf numFmtId="40" fontId="87" fillId="0" borderId="0" applyFont="0" applyFill="0" applyBorder="0" applyAlignment="0" applyProtection="0"/>
    <xf numFmtId="38" fontId="87" fillId="0" borderId="0" applyFont="0" applyFill="0" applyBorder="0" applyAlignment="0" applyProtection="0"/>
    <xf numFmtId="164" fontId="102" fillId="0" borderId="0" applyFont="0" applyFill="0" applyBorder="0" applyAlignment="0" applyProtection="0"/>
    <xf numFmtId="165" fontId="102" fillId="0" borderId="0" applyFont="0" applyFill="0" applyBorder="0" applyAlignment="0" applyProtection="0"/>
    <xf numFmtId="6" fontId="103" fillId="0" borderId="0" applyFont="0" applyFill="0" applyBorder="0" applyAlignment="0" applyProtection="0"/>
    <xf numFmtId="0" fontId="16" fillId="0" borderId="0">
      <alignment vertical="center"/>
    </xf>
    <xf numFmtId="0" fontId="13" fillId="0" borderId="0" applyFont="0" applyFill="0" applyBorder="0" applyAlignment="0" applyProtection="0"/>
    <xf numFmtId="0" fontId="13" fillId="0" borderId="0" applyFont="0" applyFill="0" applyBorder="0" applyAlignment="0" applyProtection="0"/>
    <xf numFmtId="0" fontId="104" fillId="0" borderId="0"/>
    <xf numFmtId="0" fontId="13" fillId="0" borderId="0" applyNumberForma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05" fillId="0" borderId="0"/>
    <xf numFmtId="0" fontId="105" fillId="0" borderId="0"/>
    <xf numFmtId="181" fontId="94" fillId="0" borderId="0" applyFont="0" applyFill="0" applyBorder="0" applyAlignment="0" applyProtection="0"/>
    <xf numFmtId="0" fontId="96" fillId="0" borderId="0">
      <alignment vertical="top"/>
    </xf>
    <xf numFmtId="0" fontId="96" fillId="0" borderId="0">
      <alignment vertical="top"/>
    </xf>
    <xf numFmtId="180" fontId="15" fillId="0" borderId="0" applyFont="0" applyFill="0" applyBorder="0" applyAlignment="0" applyProtection="0"/>
    <xf numFmtId="179" fontId="85" fillId="0" borderId="0" applyFont="0" applyFill="0" applyBorder="0" applyAlignment="0" applyProtection="0"/>
    <xf numFmtId="165" fontId="85" fillId="0" borderId="0" applyFont="0" applyFill="0" applyBorder="0" applyAlignment="0" applyProtection="0"/>
    <xf numFmtId="0" fontId="15" fillId="0" borderId="0" applyFont="0" applyFill="0" applyBorder="0" applyAlignment="0" applyProtection="0"/>
    <xf numFmtId="164" fontId="8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65" fontId="85" fillId="0" borderId="0" applyFont="0" applyFill="0" applyBorder="0" applyAlignment="0" applyProtection="0"/>
    <xf numFmtId="181" fontId="1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164" fontId="85" fillId="0" borderId="0" applyFont="0" applyFill="0" applyBorder="0" applyAlignment="0" applyProtection="0"/>
    <xf numFmtId="179" fontId="85" fillId="0" borderId="0" applyFont="0" applyFill="0" applyBorder="0" applyAlignment="0" applyProtection="0"/>
    <xf numFmtId="0" fontId="106" fillId="0" borderId="0"/>
    <xf numFmtId="164" fontId="8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179" fontId="85" fillId="0" borderId="0" applyFont="0" applyFill="0" applyBorder="0" applyAlignment="0" applyProtection="0"/>
    <xf numFmtId="165" fontId="85" fillId="0" borderId="0" applyFont="0" applyFill="0" applyBorder="0" applyAlignment="0" applyProtection="0"/>
    <xf numFmtId="182" fontId="107" fillId="0" borderId="0" applyFont="0" applyFill="0" applyBorder="0" applyAlignment="0" applyProtection="0"/>
    <xf numFmtId="1" fontId="108" fillId="0" borderId="3" applyBorder="0" applyAlignment="0">
      <alignment horizontal="center"/>
    </xf>
    <xf numFmtId="182" fontId="107" fillId="0" borderId="0" applyFont="0" applyFill="0" applyBorder="0" applyAlignment="0" applyProtection="0"/>
    <xf numFmtId="182" fontId="107" fillId="0" borderId="0" applyFont="0" applyFill="0" applyBorder="0" applyAlignment="0" applyProtection="0"/>
    <xf numFmtId="182" fontId="107" fillId="0" borderId="0" applyFont="0" applyFill="0" applyBorder="0" applyAlignment="0" applyProtection="0"/>
    <xf numFmtId="182" fontId="107" fillId="0" borderId="0" applyFont="0" applyFill="0" applyBorder="0" applyAlignment="0" applyProtection="0"/>
    <xf numFmtId="9" fontId="109" fillId="0" borderId="0" applyFont="0" applyFill="0" applyBorder="0" applyAlignment="0" applyProtection="0"/>
    <xf numFmtId="0" fontId="110" fillId="6" borderId="0"/>
    <xf numFmtId="0" fontId="94" fillId="0" borderId="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111" fillId="6" borderId="0"/>
    <xf numFmtId="0" fontId="112" fillId="0" borderId="0">
      <alignment wrapText="1"/>
    </xf>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9" fillId="17"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4" borderId="0" applyNumberFormat="0" applyBorder="0" applyAlignment="0" applyProtection="0"/>
    <xf numFmtId="182" fontId="113" fillId="0" borderId="0" applyFont="0" applyFill="0" applyBorder="0" applyAlignment="0" applyProtection="0"/>
    <xf numFmtId="0" fontId="114" fillId="0" borderId="0" applyFont="0" applyFill="0" applyBorder="0" applyAlignment="0" applyProtection="0"/>
    <xf numFmtId="182" fontId="115" fillId="0" borderId="0" applyFont="0" applyFill="0" applyBorder="0" applyAlignment="0" applyProtection="0"/>
    <xf numFmtId="183" fontId="113" fillId="0" borderId="0" applyFont="0" applyFill="0" applyBorder="0" applyAlignment="0" applyProtection="0"/>
    <xf numFmtId="0" fontId="114" fillId="0" borderId="0" applyFont="0" applyFill="0" applyBorder="0" applyAlignment="0" applyProtection="0"/>
    <xf numFmtId="183" fontId="115" fillId="0" borderId="0" applyFont="0" applyFill="0" applyBorder="0" applyAlignment="0" applyProtection="0"/>
    <xf numFmtId="0" fontId="116" fillId="0" borderId="0">
      <alignment horizontal="center" wrapText="1"/>
      <protection locked="0"/>
    </xf>
    <xf numFmtId="184" fontId="113" fillId="0" borderId="0" applyFont="0" applyFill="0" applyBorder="0" applyAlignment="0" applyProtection="0"/>
    <xf numFmtId="0" fontId="114" fillId="0" borderId="0" applyFont="0" applyFill="0" applyBorder="0" applyAlignment="0" applyProtection="0"/>
    <xf numFmtId="184" fontId="115" fillId="0" borderId="0" applyFont="0" applyFill="0" applyBorder="0" applyAlignment="0" applyProtection="0"/>
    <xf numFmtId="185" fontId="113" fillId="0" borderId="0" applyFont="0" applyFill="0" applyBorder="0" applyAlignment="0" applyProtection="0"/>
    <xf numFmtId="0" fontId="114" fillId="0" borderId="0" applyFont="0" applyFill="0" applyBorder="0" applyAlignment="0" applyProtection="0"/>
    <xf numFmtId="185" fontId="115" fillId="0" borderId="0" applyFont="0" applyFill="0" applyBorder="0" applyAlignment="0" applyProtection="0"/>
    <xf numFmtId="179" fontId="85" fillId="0" borderId="0" applyFont="0" applyFill="0" applyBorder="0" applyAlignment="0" applyProtection="0"/>
    <xf numFmtId="0" fontId="70" fillId="8" borderId="0" applyNumberFormat="0" applyBorder="0" applyAlignment="0" applyProtection="0"/>
    <xf numFmtId="0" fontId="117" fillId="0" borderId="0" applyNumberFormat="0" applyFill="0" applyBorder="0" applyAlignment="0" applyProtection="0"/>
    <xf numFmtId="0" fontId="114" fillId="0" borderId="0"/>
    <xf numFmtId="0" fontId="118" fillId="0" borderId="0"/>
    <xf numFmtId="0" fontId="114" fillId="0" borderId="0"/>
    <xf numFmtId="0" fontId="119" fillId="0" borderId="0"/>
    <xf numFmtId="0" fontId="120" fillId="0" borderId="0"/>
    <xf numFmtId="186" fontId="13" fillId="0" borderId="0" applyFill="0" applyBorder="0" applyAlignment="0"/>
    <xf numFmtId="176" fontId="121" fillId="0" borderId="0" applyFill="0" applyBorder="0" applyAlignment="0"/>
    <xf numFmtId="187" fontId="121" fillId="0" borderId="0" applyFill="0" applyBorder="0" applyAlignment="0"/>
    <xf numFmtId="188" fontId="121" fillId="0" borderId="0" applyFill="0" applyBorder="0" applyAlignment="0"/>
    <xf numFmtId="189" fontId="13"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71" fillId="25" borderId="14" applyNumberFormat="0" applyAlignment="0" applyProtection="0"/>
    <xf numFmtId="0" fontId="122" fillId="0" borderId="0"/>
    <xf numFmtId="0" fontId="72" fillId="26" borderId="15" applyNumberFormat="0" applyAlignment="0" applyProtection="0"/>
    <xf numFmtId="168" fontId="123" fillId="0" borderId="0" applyFont="0" applyFill="0" applyBorder="0" applyAlignment="0" applyProtection="0"/>
    <xf numFmtId="192" fontId="124" fillId="0" borderId="0"/>
    <xf numFmtId="192" fontId="124" fillId="0" borderId="0"/>
    <xf numFmtId="192" fontId="124" fillId="0" borderId="0"/>
    <xf numFmtId="192" fontId="124" fillId="0" borderId="0"/>
    <xf numFmtId="192" fontId="124" fillId="0" borderId="0"/>
    <xf numFmtId="192" fontId="124" fillId="0" borderId="0"/>
    <xf numFmtId="192" fontId="124" fillId="0" borderId="0"/>
    <xf numFmtId="192" fontId="124" fillId="0" borderId="0"/>
    <xf numFmtId="190" fontId="121" fillId="0" borderId="0" applyFont="0" applyFill="0" applyBorder="0" applyAlignment="0" applyProtection="0"/>
    <xf numFmtId="177" fontId="68" fillId="0" borderId="0" applyFont="0" applyFill="0" applyBorder="0" applyAlignment="0" applyProtection="0"/>
    <xf numFmtId="166" fontId="94"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66" fontId="13"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85" fillId="0" borderId="0" applyFont="0" applyFill="0" applyBorder="0" applyAlignment="0" applyProtection="0"/>
    <xf numFmtId="166" fontId="13" fillId="0" borderId="0" applyFont="0" applyFill="0" applyBorder="0" applyAlignment="0" applyProtection="0"/>
    <xf numFmtId="43" fontId="95" fillId="0" borderId="0" applyFont="0" applyFill="0" applyBorder="0" applyAlignment="0" applyProtection="0"/>
    <xf numFmtId="43" fontId="85" fillId="0" borderId="0" applyFont="0" applyFill="0" applyBorder="0" applyAlignment="0" applyProtection="0"/>
    <xf numFmtId="43" fontId="166" fillId="0" borderId="0" applyFont="0" applyFill="0" applyBorder="0" applyAlignment="0" applyProtection="0"/>
    <xf numFmtId="193" fontId="105" fillId="0" borderId="0"/>
    <xf numFmtId="3" fontId="13" fillId="0" borderId="0" applyFont="0" applyFill="0" applyBorder="0" applyAlignment="0" applyProtection="0"/>
    <xf numFmtId="0" fontId="125" fillId="0" borderId="0" applyNumberFormat="0" applyAlignment="0">
      <alignment horizontal="left"/>
    </xf>
    <xf numFmtId="176" fontId="121" fillId="0" borderId="0" applyFont="0" applyFill="0" applyBorder="0" applyAlignment="0" applyProtection="0"/>
    <xf numFmtId="172" fontId="13" fillId="0" borderId="0" applyFont="0" applyFill="0" applyBorder="0" applyAlignment="0" applyProtection="0"/>
    <xf numFmtId="194" fontId="85" fillId="0" borderId="0" applyFont="0" applyFill="0" applyBorder="0" applyAlignment="0" applyProtection="0"/>
    <xf numFmtId="195" fontId="105" fillId="0" borderId="0"/>
    <xf numFmtId="0" fontId="13" fillId="0" borderId="0" applyFont="0" applyFill="0" applyBorder="0" applyAlignment="0" applyProtection="0"/>
    <xf numFmtId="14" fontId="96" fillId="0" borderId="0" applyFill="0" applyBorder="0" applyAlignment="0"/>
    <xf numFmtId="196" fontId="105" fillId="0" borderId="0" applyFont="0" applyFill="0" applyBorder="0" applyAlignment="0" applyProtection="0"/>
    <xf numFmtId="197" fontId="105" fillId="0" borderId="0" applyFont="0" applyFill="0" applyBorder="0" applyAlignment="0" applyProtection="0"/>
    <xf numFmtId="198" fontId="105" fillId="0" borderId="0"/>
    <xf numFmtId="0" fontId="85" fillId="0" borderId="16" applyNumberFormat="0" applyFont="0" applyAlignment="0"/>
    <xf numFmtId="0" fontId="86" fillId="0" borderId="16" applyNumberFormat="0" applyFont="0" applyAlignment="0"/>
    <xf numFmtId="164" fontId="126" fillId="0" borderId="0" applyFont="0" applyFill="0" applyBorder="0" applyAlignment="0" applyProtection="0"/>
    <xf numFmtId="165"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41"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6" fontId="126" fillId="0" borderId="0" applyFont="0" applyFill="0" applyBorder="0" applyAlignment="0" applyProtection="0"/>
    <xf numFmtId="166" fontId="126" fillId="0" borderId="0" applyFont="0" applyFill="0" applyBorder="0" applyAlignment="0" applyProtection="0"/>
    <xf numFmtId="43" fontId="126" fillId="0" borderId="0" applyFont="0" applyFill="0" applyBorder="0" applyAlignment="0" applyProtection="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127" fillId="0" borderId="0" applyNumberFormat="0" applyAlignment="0">
      <alignment horizontal="left"/>
    </xf>
    <xf numFmtId="0" fontId="73" fillId="0" borderId="0" applyNumberFormat="0" applyFill="0" applyBorder="0" applyAlignment="0" applyProtection="0"/>
    <xf numFmtId="2" fontId="13" fillId="0" borderId="0" applyFont="0" applyFill="0" applyBorder="0" applyAlignment="0" applyProtection="0"/>
    <xf numFmtId="0" fontId="74" fillId="9" borderId="0" applyNumberFormat="0" applyBorder="0" applyAlignment="0" applyProtection="0"/>
    <xf numFmtId="38" fontId="128" fillId="27" borderId="0" applyNumberFormat="0" applyBorder="0" applyAlignment="0" applyProtection="0"/>
    <xf numFmtId="199" fontId="129" fillId="0" borderId="17" applyFont="0" applyFill="0" applyBorder="0" applyAlignment="0" applyProtection="0">
      <alignment horizontal="right"/>
    </xf>
    <xf numFmtId="0" fontId="130" fillId="28" borderId="0"/>
    <xf numFmtId="0" fontId="131" fillId="0" borderId="0">
      <alignment horizontal="left"/>
    </xf>
    <xf numFmtId="0" fontId="132" fillId="0" borderId="18" applyNumberFormat="0" applyAlignment="0" applyProtection="0">
      <alignment horizontal="left" vertical="center"/>
    </xf>
    <xf numFmtId="0" fontId="132" fillId="0" borderId="9">
      <alignment horizontal="left" vertical="center"/>
    </xf>
    <xf numFmtId="0" fontId="75" fillId="0" borderId="19"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0" applyNumberFormat="0" applyFill="0" applyBorder="0" applyAlignment="0" applyProtection="0"/>
    <xf numFmtId="0" fontId="133" fillId="0" borderId="0" applyProtection="0"/>
    <xf numFmtId="0" fontId="132" fillId="0" borderId="0" applyProtection="0"/>
    <xf numFmtId="0" fontId="134" fillId="0" borderId="22">
      <alignment horizontal="center"/>
    </xf>
    <xf numFmtId="0" fontId="134" fillId="0" borderId="0">
      <alignment horizontal="center"/>
    </xf>
    <xf numFmtId="5" fontId="135" fillId="29" borderId="3" applyNumberFormat="0" applyAlignment="0">
      <alignment horizontal="left" vertical="top"/>
    </xf>
    <xf numFmtId="49" fontId="136" fillId="0" borderId="3">
      <alignment vertical="center"/>
    </xf>
    <xf numFmtId="0" fontId="167" fillId="0" borderId="0" applyNumberFormat="0" applyFill="0" applyBorder="0" applyAlignment="0" applyProtection="0"/>
    <xf numFmtId="181" fontId="15" fillId="0" borderId="0" applyFont="0" applyFill="0" applyBorder="0" applyAlignment="0" applyProtection="0"/>
    <xf numFmtId="0" fontId="78" fillId="12" borderId="14" applyNumberFormat="0" applyAlignment="0" applyProtection="0"/>
    <xf numFmtId="10" fontId="128" fillId="27" borderId="3" applyNumberFormat="0" applyBorder="0" applyAlignment="0" applyProtection="0"/>
    <xf numFmtId="0" fontId="94" fillId="0" borderId="0"/>
    <xf numFmtId="0" fontId="105" fillId="0" borderId="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79" fillId="0" borderId="23" applyNumberFormat="0" applyFill="0" applyAlignment="0" applyProtection="0"/>
    <xf numFmtId="38" fontId="105" fillId="0" borderId="0" applyFont="0" applyFill="0" applyBorder="0" applyAlignment="0" applyProtection="0"/>
    <xf numFmtId="40" fontId="105"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37" fillId="0" borderId="22"/>
    <xf numFmtId="200" fontId="138" fillId="0" borderId="24"/>
    <xf numFmtId="201" fontId="105" fillId="0" borderId="0" applyFont="0" applyFill="0" applyBorder="0" applyAlignment="0" applyProtection="0"/>
    <xf numFmtId="202" fontId="105"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0" fontId="139" fillId="0" borderId="0" applyNumberFormat="0" applyFont="0" applyFill="0" applyAlignment="0"/>
    <xf numFmtId="0" fontId="80" fillId="30" borderId="0" applyNumberFormat="0" applyBorder="0" applyAlignment="0" applyProtection="0"/>
    <xf numFmtId="0" fontId="97" fillId="0" borderId="0"/>
    <xf numFmtId="37" fontId="140" fillId="0" borderId="0"/>
    <xf numFmtId="0" fontId="95" fillId="0" borderId="0"/>
    <xf numFmtId="0" fontId="9" fillId="0" borderId="0"/>
    <xf numFmtId="0" fontId="9" fillId="0" borderId="0"/>
    <xf numFmtId="0" fontId="10" fillId="0" borderId="0"/>
    <xf numFmtId="0" fontId="85" fillId="0" borderId="0"/>
    <xf numFmtId="0" fontId="166"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13" fillId="0" borderId="0"/>
    <xf numFmtId="0" fontId="94" fillId="0" borderId="0"/>
    <xf numFmtId="0" fontId="85" fillId="0" borderId="0"/>
    <xf numFmtId="0" fontId="13" fillId="0" borderId="0"/>
    <xf numFmtId="0" fontId="94" fillId="0" borderId="0"/>
    <xf numFmtId="0" fontId="93" fillId="0" borderId="0"/>
    <xf numFmtId="0" fontId="85" fillId="0" borderId="0"/>
    <xf numFmtId="0" fontId="168" fillId="0" borderId="0"/>
    <xf numFmtId="0" fontId="95" fillId="0" borderId="0"/>
    <xf numFmtId="0" fontId="94" fillId="0" borderId="0"/>
    <xf numFmtId="0" fontId="13" fillId="0" borderId="0"/>
    <xf numFmtId="0" fontId="13" fillId="0" borderId="0"/>
    <xf numFmtId="0" fontId="13" fillId="0" borderId="0"/>
    <xf numFmtId="0" fontId="13" fillId="0" borderId="0"/>
    <xf numFmtId="0" fontId="9" fillId="0" borderId="0"/>
    <xf numFmtId="0" fontId="95" fillId="0" borderId="0"/>
    <xf numFmtId="0" fontId="94" fillId="0" borderId="0"/>
    <xf numFmtId="0" fontId="9"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 fillId="0" borderId="0"/>
    <xf numFmtId="0" fontId="9" fillId="0" borderId="0"/>
    <xf numFmtId="0" fontId="169"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 fillId="0" borderId="0"/>
    <xf numFmtId="0" fontId="9" fillId="0" borderId="0"/>
    <xf numFmtId="0" fontId="98" fillId="0" borderId="0"/>
    <xf numFmtId="0" fontId="165" fillId="0" borderId="0"/>
    <xf numFmtId="0" fontId="92" fillId="0" borderId="0"/>
    <xf numFmtId="0" fontId="92" fillId="0" borderId="0"/>
    <xf numFmtId="0" fontId="13" fillId="0" borderId="0"/>
    <xf numFmtId="0" fontId="85" fillId="0" borderId="0"/>
    <xf numFmtId="0" fontId="13" fillId="0" borderId="0"/>
    <xf numFmtId="0" fontId="94"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99" fillId="0" borderId="0"/>
    <xf numFmtId="0" fontId="9" fillId="0" borderId="0"/>
    <xf numFmtId="0" fontId="9" fillId="0" borderId="0"/>
    <xf numFmtId="0" fontId="94" fillId="0" borderId="0"/>
    <xf numFmtId="0" fontId="126" fillId="0" borderId="0"/>
    <xf numFmtId="0" fontId="13" fillId="31" borderId="25" applyNumberFormat="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81" fillId="25" borderId="26" applyNumberFormat="0" applyAlignment="0" applyProtection="0"/>
    <xf numFmtId="14" fontId="116" fillId="0" borderId="0">
      <alignment horizontal="center" wrapText="1"/>
      <protection locked="0"/>
    </xf>
    <xf numFmtId="189" fontId="13" fillId="0" borderId="0" applyFont="0" applyFill="0" applyBorder="0" applyAlignment="0" applyProtection="0"/>
    <xf numFmtId="178" fontId="13" fillId="0" borderId="0" applyFont="0" applyFill="0" applyBorder="0" applyAlignment="0" applyProtection="0"/>
    <xf numFmtId="10" fontId="95" fillId="0" borderId="0" applyFont="0" applyFill="0" applyBorder="0" applyAlignment="0" applyProtection="0"/>
    <xf numFmtId="9" fontId="13" fillId="0" borderId="0" applyFont="0" applyFill="0" applyBorder="0" applyAlignment="0" applyProtection="0"/>
    <xf numFmtId="9" fontId="85" fillId="0" borderId="0" applyFont="0" applyFill="0" applyBorder="0" applyAlignment="0" applyProtection="0"/>
    <xf numFmtId="9" fontId="99" fillId="0" borderId="0" applyFont="0" applyFill="0" applyBorder="0" applyAlignment="0" applyProtection="0"/>
    <xf numFmtId="9" fontId="166" fillId="0" borderId="0" applyFont="0" applyFill="0" applyBorder="0" applyAlignment="0" applyProtection="0"/>
    <xf numFmtId="9" fontId="105" fillId="0" borderId="27" applyNumberFormat="0" applyBorder="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142" fillId="0" borderId="0"/>
    <xf numFmtId="0" fontId="105" fillId="0" borderId="0" applyNumberFormat="0" applyFont="0" applyFill="0" applyBorder="0" applyAlignment="0" applyProtection="0">
      <alignment horizontal="left"/>
    </xf>
    <xf numFmtId="0" fontId="143" fillId="0" borderId="22">
      <alignment horizontal="center"/>
    </xf>
    <xf numFmtId="0" fontId="144" fillId="32" borderId="0" applyNumberFormat="0" applyFont="0" applyBorder="0" applyAlignment="0">
      <alignment horizontal="center"/>
    </xf>
    <xf numFmtId="14" fontId="145" fillId="0" borderId="0" applyNumberFormat="0" applyFill="0" applyBorder="0" applyAlignment="0" applyProtection="0">
      <alignment horizontal="left"/>
    </xf>
    <xf numFmtId="181" fontId="15" fillId="0" borderId="0" applyFont="0" applyFill="0" applyBorder="0" applyAlignment="0" applyProtection="0"/>
    <xf numFmtId="4" fontId="146" fillId="33" borderId="28" applyNumberFormat="0" applyProtection="0">
      <alignment vertical="center"/>
    </xf>
    <xf numFmtId="4" fontId="147" fillId="33" borderId="28" applyNumberFormat="0" applyProtection="0">
      <alignment vertical="center"/>
    </xf>
    <xf numFmtId="4" fontId="148" fillId="33" borderId="28" applyNumberFormat="0" applyProtection="0">
      <alignment horizontal="left" vertical="center" indent="1"/>
    </xf>
    <xf numFmtId="4" fontId="148" fillId="34" borderId="0" applyNumberFormat="0" applyProtection="0">
      <alignment horizontal="left" vertical="center" indent="1"/>
    </xf>
    <xf numFmtId="4" fontId="148" fillId="35" borderId="28" applyNumberFormat="0" applyProtection="0">
      <alignment horizontal="right" vertical="center"/>
    </xf>
    <xf numFmtId="4" fontId="148" fillId="36" borderId="28" applyNumberFormat="0" applyProtection="0">
      <alignment horizontal="right" vertical="center"/>
    </xf>
    <xf numFmtId="4" fontId="148" fillId="37" borderId="28" applyNumberFormat="0" applyProtection="0">
      <alignment horizontal="right" vertical="center"/>
    </xf>
    <xf numFmtId="4" fontId="148" fillId="38" borderId="28" applyNumberFormat="0" applyProtection="0">
      <alignment horizontal="right" vertical="center"/>
    </xf>
    <xf numFmtId="4" fontId="148" fillId="39" borderId="28" applyNumberFormat="0" applyProtection="0">
      <alignment horizontal="right" vertical="center"/>
    </xf>
    <xf numFmtId="4" fontId="148" fillId="40" borderId="28" applyNumberFormat="0" applyProtection="0">
      <alignment horizontal="right" vertical="center"/>
    </xf>
    <xf numFmtId="4" fontId="148" fillId="41" borderId="28" applyNumberFormat="0" applyProtection="0">
      <alignment horizontal="right" vertical="center"/>
    </xf>
    <xf numFmtId="4" fontId="148" fillId="42" borderId="28" applyNumberFormat="0" applyProtection="0">
      <alignment horizontal="right" vertical="center"/>
    </xf>
    <xf numFmtId="4" fontId="148" fillId="43" borderId="28" applyNumberFormat="0" applyProtection="0">
      <alignment horizontal="right" vertical="center"/>
    </xf>
    <xf numFmtId="4" fontId="146" fillId="44" borderId="29" applyNumberFormat="0" applyProtection="0">
      <alignment horizontal="left" vertical="center" indent="1"/>
    </xf>
    <xf numFmtId="4" fontId="146" fillId="45" borderId="0" applyNumberFormat="0" applyProtection="0">
      <alignment horizontal="left" vertical="center" indent="1"/>
    </xf>
    <xf numFmtId="4" fontId="146" fillId="34" borderId="0" applyNumberFormat="0" applyProtection="0">
      <alignment horizontal="left" vertical="center" indent="1"/>
    </xf>
    <xf numFmtId="4" fontId="148" fillId="45" borderId="28" applyNumberFormat="0" applyProtection="0">
      <alignment horizontal="right" vertical="center"/>
    </xf>
    <xf numFmtId="4" fontId="96" fillId="45" borderId="0" applyNumberFormat="0" applyProtection="0">
      <alignment horizontal="left" vertical="center" indent="1"/>
    </xf>
    <xf numFmtId="4" fontId="96" fillId="34" borderId="0" applyNumberFormat="0" applyProtection="0">
      <alignment horizontal="left" vertical="center" indent="1"/>
    </xf>
    <xf numFmtId="4" fontId="148" fillId="46" borderId="28" applyNumberFormat="0" applyProtection="0">
      <alignment vertical="center"/>
    </xf>
    <xf numFmtId="4" fontId="149" fillId="46" borderId="28" applyNumberFormat="0" applyProtection="0">
      <alignment vertical="center"/>
    </xf>
    <xf numFmtId="4" fontId="146" fillId="45" borderId="30" applyNumberFormat="0" applyProtection="0">
      <alignment horizontal="left" vertical="center" indent="1"/>
    </xf>
    <xf numFmtId="4" fontId="148" fillId="46" borderId="28" applyNumberFormat="0" applyProtection="0">
      <alignment horizontal="right" vertical="center"/>
    </xf>
    <xf numFmtId="4" fontId="149" fillId="46" borderId="28" applyNumberFormat="0" applyProtection="0">
      <alignment horizontal="right" vertical="center"/>
    </xf>
    <xf numFmtId="4" fontId="146" fillId="45" borderId="28" applyNumberFormat="0" applyProtection="0">
      <alignment horizontal="left" vertical="center" indent="1"/>
    </xf>
    <xf numFmtId="4" fontId="150" fillId="29" borderId="30" applyNumberFormat="0" applyProtection="0">
      <alignment horizontal="left" vertical="center" indent="1"/>
    </xf>
    <xf numFmtId="4" fontId="151" fillId="46" borderId="28" applyNumberFormat="0" applyProtection="0">
      <alignment horizontal="right" vertical="center"/>
    </xf>
    <xf numFmtId="0" fontId="144" fillId="1" borderId="9" applyNumberFormat="0" applyFont="0" applyAlignment="0">
      <alignment horizontal="center"/>
    </xf>
    <xf numFmtId="0" fontId="152" fillId="0" borderId="0" applyNumberFormat="0" applyFill="0" applyBorder="0" applyAlignment="0">
      <alignment horizontal="center"/>
    </xf>
    <xf numFmtId="0" fontId="153" fillId="0" borderId="6"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37" fillId="0" borderId="0"/>
    <xf numFmtId="40" fontId="154" fillId="0" borderId="0" applyBorder="0">
      <alignment horizontal="right"/>
    </xf>
    <xf numFmtId="205" fontId="61" fillId="0" borderId="8">
      <alignment horizontal="right" vertical="center"/>
    </xf>
    <xf numFmtId="205" fontId="61" fillId="0" borderId="8">
      <alignment horizontal="right" vertical="center"/>
    </xf>
    <xf numFmtId="205" fontId="61" fillId="0" borderId="8">
      <alignment horizontal="right" vertical="center"/>
    </xf>
    <xf numFmtId="49" fontId="96" fillId="0" borderId="0" applyFill="0" applyBorder="0" applyAlignment="0"/>
    <xf numFmtId="206" fontId="13" fillId="0" borderId="0" applyFill="0" applyBorder="0" applyAlignment="0"/>
    <xf numFmtId="207" fontId="13" fillId="0" borderId="0" applyFill="0" applyBorder="0" applyAlignment="0"/>
    <xf numFmtId="208" fontId="61" fillId="0" borderId="8">
      <alignment horizontal="center"/>
    </xf>
    <xf numFmtId="0" fontId="141" fillId="0" borderId="0" applyNumberFormat="0" applyFill="0" applyBorder="0" applyAlignment="0" applyProtection="0"/>
    <xf numFmtId="3" fontId="155" fillId="0" borderId="12" applyNumberFormat="0" applyBorder="0" applyAlignment="0"/>
    <xf numFmtId="0" fontId="82" fillId="0" borderId="0" applyNumberFormat="0" applyFill="0" applyBorder="0" applyAlignment="0" applyProtection="0"/>
    <xf numFmtId="0" fontId="83" fillId="0" borderId="31" applyNumberFormat="0" applyFill="0" applyAlignment="0" applyProtection="0"/>
    <xf numFmtId="207" fontId="61" fillId="0" borderId="0"/>
    <xf numFmtId="209" fontId="61" fillId="0" borderId="3"/>
    <xf numFmtId="3" fontId="61" fillId="0" borderId="0" applyNumberFormat="0" applyBorder="0" applyAlignment="0" applyProtection="0">
      <alignment horizontal="centerContinuous"/>
      <protection locked="0"/>
    </xf>
    <xf numFmtId="3" fontId="156" fillId="0" borderId="0">
      <protection locked="0"/>
    </xf>
    <xf numFmtId="5" fontId="157" fillId="47" borderId="7">
      <alignment vertical="top"/>
    </xf>
    <xf numFmtId="0" fontId="100" fillId="48" borderId="3">
      <alignment horizontal="left" vertical="center"/>
    </xf>
    <xf numFmtId="6" fontId="158" fillId="31" borderId="7"/>
    <xf numFmtId="5" fontId="135" fillId="0" borderId="7">
      <alignment horizontal="left" vertical="top"/>
    </xf>
    <xf numFmtId="0" fontId="159" fillId="49" borderId="0">
      <alignment horizontal="left" vertical="center"/>
    </xf>
    <xf numFmtId="5" fontId="138" fillId="0" borderId="32">
      <alignment horizontal="left" vertical="top"/>
    </xf>
    <xf numFmtId="0" fontId="160" fillId="0" borderId="32">
      <alignment horizontal="left" vertical="center"/>
    </xf>
    <xf numFmtId="42" fontId="126" fillId="0" borderId="0" applyFont="0" applyFill="0" applyBorder="0" applyAlignment="0" applyProtection="0"/>
    <xf numFmtId="44" fontId="126" fillId="0" borderId="0" applyFont="0" applyFill="0" applyBorder="0" applyAlignment="0" applyProtection="0"/>
    <xf numFmtId="0" fontId="84" fillId="0" borderId="0" applyNumberFormat="0" applyFill="0" applyBorder="0" applyAlignment="0" applyProtection="0"/>
    <xf numFmtId="0" fontId="161" fillId="0" borderId="0" applyNumberForma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6" fillId="0" borderId="0">
      <alignment vertical="center"/>
    </xf>
    <xf numFmtId="40" fontId="88" fillId="0" borderId="0" applyFont="0" applyFill="0" applyBorder="0" applyAlignment="0" applyProtection="0"/>
    <xf numFmtId="38"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9" fontId="163" fillId="0" borderId="0" applyFont="0" applyFill="0" applyBorder="0" applyAlignment="0" applyProtection="0"/>
    <xf numFmtId="0" fontId="89" fillId="0" borderId="0"/>
    <xf numFmtId="171" fontId="13" fillId="0" borderId="0" applyFont="0" applyFill="0" applyBorder="0" applyAlignment="0" applyProtection="0"/>
    <xf numFmtId="170" fontId="13" fillId="0" borderId="0" applyFont="0" applyFill="0" applyBorder="0" applyAlignment="0" applyProtection="0"/>
    <xf numFmtId="173" fontId="90" fillId="0" borderId="0" applyFont="0" applyFill="0" applyBorder="0" applyAlignment="0" applyProtection="0"/>
    <xf numFmtId="174" fontId="90" fillId="0" borderId="0" applyFont="0" applyFill="0" applyBorder="0" applyAlignment="0" applyProtection="0"/>
    <xf numFmtId="0" fontId="91" fillId="0" borderId="0"/>
    <xf numFmtId="0" fontId="139" fillId="0" borderId="0"/>
    <xf numFmtId="164" fontId="164" fillId="0" borderId="0" applyFont="0" applyFill="0" applyBorder="0" applyAlignment="0" applyProtection="0"/>
    <xf numFmtId="165" fontId="164" fillId="0" borderId="0" applyFont="0" applyFill="0" applyBorder="0" applyAlignment="0" applyProtection="0"/>
    <xf numFmtId="0" fontId="97" fillId="0" borderId="0"/>
    <xf numFmtId="210" fontId="164" fillId="0" borderId="0" applyFont="0" applyFill="0" applyBorder="0" applyAlignment="0" applyProtection="0"/>
    <xf numFmtId="6" fontId="103" fillId="0" borderId="0" applyFont="0" applyFill="0" applyBorder="0" applyAlignment="0" applyProtection="0"/>
    <xf numFmtId="190" fontId="164" fillId="0" borderId="0" applyFont="0" applyFill="0" applyBorder="0" applyAlignment="0" applyProtection="0"/>
    <xf numFmtId="0" fontId="13"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8" fillId="12" borderId="14"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3" fillId="0" borderId="0" applyFont="0" applyFill="0" applyBorder="0" applyAlignment="0" applyProtection="0"/>
    <xf numFmtId="0" fontId="13"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43" fontId="13" fillId="0" borderId="0" applyFont="0" applyFill="0" applyBorder="0" applyAlignment="0" applyProtection="0"/>
    <xf numFmtId="0" fontId="173" fillId="0" borderId="0" applyFill="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 fillId="0" borderId="0" applyFont="0" applyFill="0" applyBorder="0" applyAlignment="0" applyProtection="0"/>
    <xf numFmtId="0" fontId="3" fillId="0" borderId="0"/>
    <xf numFmtId="0" fontId="3" fillId="0" borderId="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95" fillId="0" borderId="0"/>
    <xf numFmtId="0" fontId="95" fillId="0" borderId="0"/>
    <xf numFmtId="0" fontId="95" fillId="0" borderId="0"/>
    <xf numFmtId="0" fontId="95" fillId="0" borderId="0"/>
    <xf numFmtId="43" fontId="1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9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95" fillId="0" borderId="0"/>
    <xf numFmtId="43" fontId="13"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699">
    <xf numFmtId="0" fontId="0" fillId="0" borderId="0" xfId="0"/>
    <xf numFmtId="0" fontId="20"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wrapText="1"/>
    </xf>
    <xf numFmtId="0" fontId="22" fillId="0" borderId="0" xfId="0" applyFont="1"/>
    <xf numFmtId="3" fontId="20" fillId="0" borderId="0" xfId="0" applyNumberFormat="1" applyFont="1"/>
    <xf numFmtId="49" fontId="20" fillId="0" borderId="0" xfId="0" applyNumberFormat="1" applyFont="1"/>
    <xf numFmtId="3" fontId="20" fillId="2" borderId="0" xfId="0" applyNumberFormat="1" applyFont="1" applyFill="1"/>
    <xf numFmtId="3" fontId="20" fillId="0" borderId="0" xfId="0" applyNumberFormat="1" applyFont="1" applyAlignment="1">
      <alignment horizontal="right"/>
    </xf>
    <xf numFmtId="0" fontId="20" fillId="0" borderId="0" xfId="0" applyFont="1" applyAlignment="1">
      <alignment horizontal="center" vertical="center"/>
    </xf>
    <xf numFmtId="3" fontId="20" fillId="2" borderId="3" xfId="0" applyNumberFormat="1" applyFont="1" applyFill="1" applyBorder="1" applyAlignment="1">
      <alignment horizontal="center" vertical="center" wrapText="1"/>
    </xf>
    <xf numFmtId="3" fontId="20"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49" fontId="25" fillId="0" borderId="3" xfId="0" applyNumberFormat="1" applyFont="1" applyBorder="1" applyAlignment="1">
      <alignment horizontal="center" vertical="center"/>
    </xf>
    <xf numFmtId="3" fontId="25" fillId="0" borderId="3" xfId="0" applyNumberFormat="1" applyFont="1" applyBorder="1" applyAlignment="1">
      <alignment horizontal="center" vertical="center" wrapText="1"/>
    </xf>
    <xf numFmtId="3" fontId="26" fillId="2" borderId="3" xfId="0" applyNumberFormat="1" applyFont="1" applyFill="1" applyBorder="1" applyAlignment="1">
      <alignment horizontal="center" vertical="center"/>
    </xf>
    <xf numFmtId="3" fontId="26" fillId="0" borderId="3" xfId="0" applyNumberFormat="1" applyFont="1" applyBorder="1" applyAlignment="1">
      <alignment horizontal="center" vertical="center"/>
    </xf>
    <xf numFmtId="3" fontId="25" fillId="0" borderId="3" xfId="0" applyNumberFormat="1" applyFont="1" applyBorder="1" applyAlignment="1">
      <alignment horizontal="center" vertical="center"/>
    </xf>
    <xf numFmtId="0" fontId="25" fillId="0" borderId="0" xfId="0" applyFont="1" applyAlignment="1">
      <alignment horizontal="center" vertical="center"/>
    </xf>
    <xf numFmtId="0" fontId="27" fillId="0" borderId="2" xfId="0" applyFont="1" applyBorder="1" applyAlignment="1">
      <alignment vertical="center"/>
    </xf>
    <xf numFmtId="0" fontId="27" fillId="0" borderId="2" xfId="0" applyFont="1" applyBorder="1" applyAlignment="1">
      <alignment horizontal="center" vertical="center"/>
    </xf>
    <xf numFmtId="49" fontId="27" fillId="0" borderId="2" xfId="0" applyNumberFormat="1" applyFont="1" applyBorder="1" applyAlignment="1">
      <alignment vertical="center"/>
    </xf>
    <xf numFmtId="3" fontId="27" fillId="0" borderId="2" xfId="0" applyNumberFormat="1" applyFont="1" applyBorder="1" applyAlignment="1">
      <alignment vertical="center"/>
    </xf>
    <xf numFmtId="3" fontId="27" fillId="2" borderId="2" xfId="0" applyNumberFormat="1" applyFont="1" applyFill="1" applyBorder="1" applyAlignment="1">
      <alignmen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49" fontId="28" fillId="0" borderId="2" xfId="0" applyNumberFormat="1" applyFont="1" applyBorder="1" applyAlignment="1">
      <alignment vertical="center"/>
    </xf>
    <xf numFmtId="3" fontId="28" fillId="0" borderId="2" xfId="0" applyNumberFormat="1" applyFont="1" applyBorder="1" applyAlignment="1">
      <alignment vertical="center"/>
    </xf>
    <xf numFmtId="3" fontId="28" fillId="2" borderId="2" xfId="0" applyNumberFormat="1" applyFont="1" applyFill="1" applyBorder="1" applyAlignment="1">
      <alignment vertical="center"/>
    </xf>
    <xf numFmtId="0" fontId="28" fillId="0" borderId="2" xfId="0" applyFont="1" applyBorder="1" applyAlignment="1">
      <alignment vertical="center"/>
    </xf>
    <xf numFmtId="0" fontId="28" fillId="0" borderId="0" xfId="0" applyFont="1" applyAlignment="1">
      <alignment vertical="center"/>
    </xf>
    <xf numFmtId="0" fontId="28" fillId="0" borderId="2" xfId="0" applyFont="1" applyBorder="1" applyAlignment="1">
      <alignment horizontal="left" vertical="center" wrapText="1"/>
    </xf>
    <xf numFmtId="49" fontId="28" fillId="0" borderId="2" xfId="0" quotePrefix="1" applyNumberFormat="1"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left" vertical="center" wrapText="1"/>
    </xf>
    <xf numFmtId="49" fontId="29" fillId="0" borderId="2" xfId="0" applyNumberFormat="1" applyFont="1" applyBorder="1" applyAlignment="1">
      <alignment vertical="center"/>
    </xf>
    <xf numFmtId="3" fontId="29" fillId="0" borderId="2" xfId="0" applyNumberFormat="1" applyFont="1" applyBorder="1" applyAlignment="1">
      <alignment vertical="center"/>
    </xf>
    <xf numFmtId="3" fontId="29" fillId="2" borderId="2" xfId="0" applyNumberFormat="1" applyFont="1" applyFill="1" applyBorder="1" applyAlignment="1">
      <alignment vertical="center"/>
    </xf>
    <xf numFmtId="0" fontId="29" fillId="0" borderId="0" xfId="0" applyFont="1" applyAlignment="1">
      <alignment vertical="center"/>
    </xf>
    <xf numFmtId="0" fontId="30" fillId="0" borderId="2" xfId="0" applyFont="1" applyBorder="1" applyAlignment="1">
      <alignment vertical="center"/>
    </xf>
    <xf numFmtId="168" fontId="16" fillId="0" borderId="2" xfId="5" quotePrefix="1" applyNumberFormat="1" applyFont="1" applyFill="1" applyBorder="1" applyAlignment="1">
      <alignment vertical="center" wrapText="1"/>
    </xf>
    <xf numFmtId="3" fontId="31" fillId="0" borderId="2" xfId="0" applyNumberFormat="1" applyFont="1" applyBorder="1" applyAlignment="1">
      <alignment vertical="center"/>
    </xf>
    <xf numFmtId="3" fontId="32" fillId="0" borderId="2" xfId="0" applyNumberFormat="1" applyFont="1" applyBorder="1" applyAlignment="1">
      <alignment vertical="center"/>
    </xf>
    <xf numFmtId="3" fontId="33" fillId="2" borderId="2" xfId="0" applyNumberFormat="1" applyFont="1" applyFill="1" applyBorder="1" applyAlignment="1">
      <alignment vertical="center"/>
    </xf>
    <xf numFmtId="3" fontId="33" fillId="0" borderId="2" xfId="0" applyNumberFormat="1" applyFont="1" applyBorder="1" applyAlignment="1">
      <alignment vertical="center"/>
    </xf>
    <xf numFmtId="3" fontId="20" fillId="2" borderId="2" xfId="0" applyNumberFormat="1" applyFont="1" applyFill="1" applyBorder="1" applyAlignment="1">
      <alignment vertical="center"/>
    </xf>
    <xf numFmtId="3" fontId="20" fillId="0" borderId="2" xfId="0" applyNumberFormat="1" applyFont="1" applyBorder="1" applyAlignment="1">
      <alignment vertical="center"/>
    </xf>
    <xf numFmtId="0" fontId="16" fillId="0" borderId="2" xfId="5" quotePrefix="1" applyNumberFormat="1" applyFont="1" applyFill="1" applyBorder="1" applyAlignment="1">
      <alignment vertical="center" wrapText="1"/>
    </xf>
    <xf numFmtId="0" fontId="34" fillId="0" borderId="2" xfId="0" applyFont="1" applyBorder="1" applyAlignment="1">
      <alignment vertical="center"/>
    </xf>
    <xf numFmtId="0" fontId="34" fillId="0" borderId="2" xfId="0" applyFont="1" applyBorder="1" applyAlignment="1">
      <alignment horizontal="left" vertical="center" wrapText="1"/>
    </xf>
    <xf numFmtId="49" fontId="34"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4" fillId="0" borderId="0" xfId="0" applyFont="1" applyAlignment="1">
      <alignment vertical="center"/>
    </xf>
    <xf numFmtId="0" fontId="35" fillId="0" borderId="2" xfId="0" applyFont="1" applyBorder="1" applyAlignment="1">
      <alignment vertical="center"/>
    </xf>
    <xf numFmtId="168" fontId="36" fillId="0" borderId="2" xfId="5" quotePrefix="1" applyNumberFormat="1" applyFont="1" applyFill="1" applyBorder="1" applyAlignment="1">
      <alignment vertical="center" wrapText="1"/>
    </xf>
    <xf numFmtId="49" fontId="37" fillId="0" borderId="2" xfId="0" applyNumberFormat="1" applyFont="1" applyBorder="1" applyAlignment="1">
      <alignment vertical="center"/>
    </xf>
    <xf numFmtId="3" fontId="38" fillId="0" borderId="2" xfId="0" applyNumberFormat="1" applyFont="1" applyBorder="1" applyAlignment="1">
      <alignment vertical="center"/>
    </xf>
    <xf numFmtId="3" fontId="38" fillId="2" borderId="2" xfId="0" applyNumberFormat="1" applyFont="1" applyFill="1" applyBorder="1" applyAlignment="1">
      <alignment vertical="center"/>
    </xf>
    <xf numFmtId="0" fontId="37" fillId="0" borderId="2" xfId="0" applyFont="1" applyBorder="1" applyAlignment="1">
      <alignment vertical="center"/>
    </xf>
    <xf numFmtId="0" fontId="37" fillId="0" borderId="0" xfId="0" applyFont="1" applyAlignment="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49" fontId="39" fillId="0" borderId="2" xfId="0" applyNumberFormat="1" applyFont="1" applyBorder="1" applyAlignment="1">
      <alignment vertical="center"/>
    </xf>
    <xf numFmtId="3" fontId="39" fillId="0" borderId="2" xfId="0" applyNumberFormat="1" applyFont="1" applyBorder="1" applyAlignment="1">
      <alignment vertical="center"/>
    </xf>
    <xf numFmtId="3" fontId="39" fillId="2" borderId="2" xfId="0" applyNumberFormat="1" applyFont="1" applyFill="1" applyBorder="1" applyAlignment="1">
      <alignment vertical="center"/>
    </xf>
    <xf numFmtId="0" fontId="39" fillId="0" borderId="2" xfId="0" applyFont="1" applyBorder="1" applyAlignment="1">
      <alignment vertical="center"/>
    </xf>
    <xf numFmtId="3" fontId="39" fillId="0" borderId="0" xfId="0" applyNumberFormat="1" applyFont="1" applyAlignment="1">
      <alignment vertical="center"/>
    </xf>
    <xf numFmtId="0" fontId="39" fillId="0" borderId="0" xfId="0" applyFont="1" applyAlignment="1">
      <alignment vertical="center"/>
    </xf>
    <xf numFmtId="0" fontId="40" fillId="0" borderId="2" xfId="0" applyFont="1" applyBorder="1" applyAlignment="1">
      <alignment vertical="center"/>
    </xf>
    <xf numFmtId="49" fontId="40" fillId="0" borderId="2" xfId="0" quotePrefix="1" applyNumberFormat="1" applyFont="1" applyBorder="1" applyAlignment="1">
      <alignment vertical="center"/>
    </xf>
    <xf numFmtId="3" fontId="40" fillId="0" borderId="2" xfId="0" applyNumberFormat="1" applyFont="1" applyBorder="1" applyAlignment="1">
      <alignment vertical="center"/>
    </xf>
    <xf numFmtId="3" fontId="40" fillId="2" borderId="2" xfId="0" applyNumberFormat="1" applyFont="1" applyFill="1" applyBorder="1" applyAlignment="1">
      <alignment vertical="center"/>
    </xf>
    <xf numFmtId="0" fontId="40" fillId="0" borderId="0" xfId="0" applyFont="1" applyAlignment="1">
      <alignment vertical="center"/>
    </xf>
    <xf numFmtId="0" fontId="38" fillId="0" borderId="2" xfId="0" applyFont="1" applyBorder="1" applyAlignment="1">
      <alignment vertical="center"/>
    </xf>
    <xf numFmtId="0" fontId="38" fillId="0" borderId="2" xfId="0" applyFont="1" applyBorder="1" applyAlignment="1">
      <alignment horizontal="left" vertical="center" wrapText="1"/>
    </xf>
    <xf numFmtId="49" fontId="38" fillId="0" borderId="2" xfId="0" quotePrefix="1" applyNumberFormat="1" applyFont="1" applyBorder="1" applyAlignment="1">
      <alignment vertical="center"/>
    </xf>
    <xf numFmtId="0" fontId="38" fillId="0" borderId="0" xfId="0" applyFont="1" applyAlignment="1">
      <alignment vertical="center"/>
    </xf>
    <xf numFmtId="0" fontId="20" fillId="0" borderId="2" xfId="0" applyFont="1" applyBorder="1" applyAlignment="1">
      <alignment vertical="center"/>
    </xf>
    <xf numFmtId="49" fontId="20" fillId="0" borderId="2" xfId="0" applyNumberFormat="1" applyFont="1" applyBorder="1" applyAlignment="1">
      <alignment vertical="center"/>
    </xf>
    <xf numFmtId="0" fontId="20" fillId="0" borderId="4" xfId="0" applyFont="1" applyBorder="1" applyAlignment="1">
      <alignment vertical="center"/>
    </xf>
    <xf numFmtId="168" fontId="16" fillId="0" borderId="4" xfId="5" quotePrefix="1" applyNumberFormat="1" applyFont="1" applyFill="1" applyBorder="1" applyAlignment="1">
      <alignment vertical="center" wrapText="1"/>
    </xf>
    <xf numFmtId="49" fontId="20" fillId="0" borderId="4" xfId="0" applyNumberFormat="1" applyFont="1" applyBorder="1" applyAlignment="1">
      <alignment vertical="center"/>
    </xf>
    <xf numFmtId="3" fontId="30" fillId="2" borderId="2" xfId="0" applyNumberFormat="1" applyFont="1" applyFill="1" applyBorder="1" applyAlignment="1">
      <alignment vertical="center"/>
    </xf>
    <xf numFmtId="3" fontId="30" fillId="0" borderId="2" xfId="0" applyNumberFormat="1"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168" fontId="16" fillId="0" borderId="2" xfId="5" quotePrefix="1" applyNumberFormat="1" applyFont="1" applyFill="1" applyBorder="1" applyAlignment="1">
      <alignment horizontal="left" vertical="center" wrapText="1"/>
    </xf>
    <xf numFmtId="3" fontId="31" fillId="2" borderId="2" xfId="0" applyNumberFormat="1" applyFont="1" applyFill="1" applyBorder="1" applyAlignment="1">
      <alignment vertical="center"/>
    </xf>
    <xf numFmtId="0" fontId="43" fillId="0" borderId="2" xfId="0" applyFont="1" applyBorder="1" applyAlignment="1">
      <alignment vertical="center"/>
    </xf>
    <xf numFmtId="168" fontId="44" fillId="0" borderId="2" xfId="5" quotePrefix="1" applyNumberFormat="1" applyFont="1" applyFill="1" applyBorder="1" applyAlignment="1">
      <alignment vertical="center" wrapText="1"/>
    </xf>
    <xf numFmtId="3" fontId="45" fillId="0" borderId="2" xfId="0" applyNumberFormat="1" applyFont="1" applyBorder="1" applyAlignment="1">
      <alignment vertical="center"/>
    </xf>
    <xf numFmtId="3" fontId="46" fillId="0" borderId="2" xfId="0" applyNumberFormat="1" applyFont="1" applyBorder="1" applyAlignment="1">
      <alignment vertical="center"/>
    </xf>
    <xf numFmtId="3" fontId="47" fillId="2" borderId="2" xfId="0" applyNumberFormat="1" applyFont="1" applyFill="1" applyBorder="1" applyAlignment="1">
      <alignment vertical="center"/>
    </xf>
    <xf numFmtId="3" fontId="47" fillId="0" borderId="2" xfId="0" applyNumberFormat="1" applyFont="1" applyBorder="1" applyAlignment="1">
      <alignment vertical="center"/>
    </xf>
    <xf numFmtId="0" fontId="48" fillId="0" borderId="2" xfId="0" applyFont="1" applyBorder="1" applyAlignment="1">
      <alignment vertical="center"/>
    </xf>
    <xf numFmtId="49" fontId="48" fillId="0" borderId="2" xfId="0" applyNumberFormat="1" applyFont="1" applyBorder="1" applyAlignment="1">
      <alignment vertical="center"/>
    </xf>
    <xf numFmtId="0" fontId="48" fillId="0" borderId="0" xfId="0" applyFont="1" applyAlignment="1">
      <alignment vertical="center"/>
    </xf>
    <xf numFmtId="0" fontId="40" fillId="0" borderId="2" xfId="0" applyFont="1" applyBorder="1" applyAlignment="1">
      <alignment horizontal="left" vertical="center" wrapText="1"/>
    </xf>
    <xf numFmtId="0" fontId="49" fillId="0" borderId="4" xfId="0" applyFont="1" applyBorder="1" applyAlignment="1">
      <alignment vertical="center"/>
    </xf>
    <xf numFmtId="168" fontId="44" fillId="0" borderId="4" xfId="5" quotePrefix="1" applyNumberFormat="1" applyFont="1" applyFill="1" applyBorder="1" applyAlignment="1">
      <alignment vertical="center" wrapText="1"/>
    </xf>
    <xf numFmtId="49" fontId="49" fillId="0" borderId="4" xfId="0" applyNumberFormat="1" applyFont="1" applyBorder="1" applyAlignment="1">
      <alignment vertical="center"/>
    </xf>
    <xf numFmtId="0" fontId="49" fillId="0" borderId="0" xfId="0" applyFont="1" applyAlignment="1">
      <alignment vertical="center"/>
    </xf>
    <xf numFmtId="3" fontId="46" fillId="2" borderId="2" xfId="0" applyNumberFormat="1" applyFont="1" applyFill="1" applyBorder="1" applyAlignment="1">
      <alignment vertical="center"/>
    </xf>
    <xf numFmtId="3" fontId="49" fillId="0" borderId="2" xfId="0" applyNumberFormat="1" applyFont="1" applyBorder="1" applyAlignment="1">
      <alignment vertical="center"/>
    </xf>
    <xf numFmtId="3" fontId="49" fillId="2" borderId="2" xfId="0" applyNumberFormat="1" applyFont="1" applyFill="1" applyBorder="1" applyAlignment="1">
      <alignment vertical="center"/>
    </xf>
    <xf numFmtId="0" fontId="20" fillId="0" borderId="1" xfId="0" applyFont="1" applyBorder="1" applyAlignment="1">
      <alignment vertical="center"/>
    </xf>
    <xf numFmtId="49" fontId="20" fillId="0" borderId="1" xfId="0" applyNumberFormat="1" applyFont="1" applyBorder="1" applyAlignment="1">
      <alignment vertical="center"/>
    </xf>
    <xf numFmtId="3" fontId="20" fillId="0" borderId="1" xfId="0" applyNumberFormat="1" applyFont="1" applyBorder="1" applyAlignment="1">
      <alignment vertical="center"/>
    </xf>
    <xf numFmtId="3" fontId="20" fillId="2" borderId="1" xfId="0" applyNumberFormat="1" applyFont="1" applyFill="1" applyBorder="1" applyAlignment="1">
      <alignment vertical="center"/>
    </xf>
    <xf numFmtId="0" fontId="20" fillId="3" borderId="2" xfId="0" applyFont="1" applyFill="1" applyBorder="1" applyAlignment="1">
      <alignment vertical="center"/>
    </xf>
    <xf numFmtId="168" fontId="16" fillId="3" borderId="2" xfId="5" quotePrefix="1" applyNumberFormat="1" applyFont="1" applyFill="1" applyBorder="1" applyAlignment="1">
      <alignment vertical="center" wrapText="1"/>
    </xf>
    <xf numFmtId="49" fontId="20" fillId="3" borderId="2" xfId="0" applyNumberFormat="1" applyFont="1" applyFill="1" applyBorder="1" applyAlignment="1">
      <alignment vertical="center"/>
    </xf>
    <xf numFmtId="3" fontId="31" fillId="3" borderId="2" xfId="0" applyNumberFormat="1" applyFont="1" applyFill="1" applyBorder="1" applyAlignment="1">
      <alignment vertical="center"/>
    </xf>
    <xf numFmtId="3" fontId="32" fillId="3" borderId="2" xfId="0" applyNumberFormat="1" applyFont="1" applyFill="1" applyBorder="1" applyAlignment="1">
      <alignment vertical="center"/>
    </xf>
    <xf numFmtId="3" fontId="20" fillId="3" borderId="2" xfId="0" applyNumberFormat="1" applyFont="1" applyFill="1" applyBorder="1" applyAlignment="1">
      <alignment vertical="center"/>
    </xf>
    <xf numFmtId="0" fontId="20" fillId="3" borderId="0" xfId="0" applyFont="1" applyFill="1" applyAlignment="1">
      <alignment vertical="center"/>
    </xf>
    <xf numFmtId="0" fontId="20" fillId="3" borderId="4" xfId="0" applyFont="1" applyFill="1" applyBorder="1" applyAlignment="1">
      <alignment vertical="center"/>
    </xf>
    <xf numFmtId="168" fontId="16" fillId="3" borderId="4" xfId="5" quotePrefix="1" applyNumberFormat="1" applyFont="1" applyFill="1" applyBorder="1" applyAlignment="1">
      <alignment vertical="center" wrapText="1"/>
    </xf>
    <xf numFmtId="49" fontId="20" fillId="3" borderId="4" xfId="0" applyNumberFormat="1" applyFont="1" applyFill="1" applyBorder="1" applyAlignment="1">
      <alignment vertical="center"/>
    </xf>
    <xf numFmtId="3" fontId="30" fillId="3" borderId="2" xfId="0" applyNumberFormat="1" applyFont="1" applyFill="1" applyBorder="1" applyAlignment="1">
      <alignment vertical="center"/>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quotePrefix="1" applyFont="1" applyFill="1" applyBorder="1" applyAlignment="1">
      <alignment horizontal="center" vertical="center" wrapText="1"/>
    </xf>
    <xf numFmtId="3" fontId="10" fillId="4" borderId="2" xfId="3" applyNumberFormat="1" applyFont="1" applyFill="1" applyBorder="1" applyAlignment="1">
      <alignment vertical="center"/>
    </xf>
    <xf numFmtId="0" fontId="10" fillId="4" borderId="0" xfId="0" applyFont="1" applyFill="1" applyAlignment="1">
      <alignment vertical="center"/>
    </xf>
    <xf numFmtId="3" fontId="10" fillId="4" borderId="0" xfId="0" applyNumberFormat="1" applyFont="1" applyFill="1" applyAlignment="1">
      <alignment vertical="center"/>
    </xf>
    <xf numFmtId="0" fontId="10" fillId="4" borderId="0" xfId="0" applyFont="1" applyFill="1" applyAlignment="1">
      <alignment horizontal="center" vertical="center"/>
    </xf>
    <xf numFmtId="0" fontId="12" fillId="4" borderId="0" xfId="0" applyFont="1" applyFill="1" applyAlignment="1">
      <alignment horizontal="right" vertical="center"/>
    </xf>
    <xf numFmtId="0" fontId="11" fillId="4" borderId="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2" xfId="0" applyFont="1" applyFill="1" applyBorder="1" applyAlignment="1">
      <alignment vertical="center" wrapText="1"/>
    </xf>
    <xf numFmtId="0" fontId="11" fillId="4" borderId="1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applyFont="1" applyFill="1" applyBorder="1" applyAlignment="1">
      <alignment vertical="center" wrapText="1"/>
    </xf>
    <xf numFmtId="3" fontId="11" fillId="4" borderId="2" xfId="0" applyNumberFormat="1" applyFont="1" applyFill="1" applyBorder="1" applyAlignment="1">
      <alignment vertical="center"/>
    </xf>
    <xf numFmtId="0" fontId="10" fillId="4" borderId="2" xfId="0" applyFont="1" applyFill="1" applyBorder="1" applyAlignment="1">
      <alignment vertical="center" wrapText="1"/>
    </xf>
    <xf numFmtId="3" fontId="10" fillId="4" borderId="2" xfId="0" applyNumberFormat="1" applyFont="1" applyFill="1" applyBorder="1" applyAlignment="1">
      <alignment vertical="center"/>
    </xf>
    <xf numFmtId="0" fontId="12" fillId="4" borderId="0" xfId="0" applyFont="1" applyFill="1" applyAlignment="1">
      <alignment vertical="center"/>
    </xf>
    <xf numFmtId="0" fontId="10" fillId="4" borderId="2" xfId="0" quotePrefix="1" applyFont="1" applyFill="1" applyBorder="1" applyAlignment="1">
      <alignment vertical="center" wrapText="1"/>
    </xf>
    <xf numFmtId="0" fontId="11" fillId="4" borderId="2" xfId="0" quotePrefix="1" applyFont="1" applyFill="1" applyBorder="1" applyAlignment="1">
      <alignment horizontal="center" vertical="center" wrapText="1"/>
    </xf>
    <xf numFmtId="3" fontId="11" fillId="4" borderId="2" xfId="1" applyNumberFormat="1" applyFont="1" applyFill="1" applyBorder="1" applyAlignment="1">
      <alignment vertical="center"/>
    </xf>
    <xf numFmtId="0" fontId="11" fillId="4" borderId="0" xfId="0" applyFont="1" applyFill="1" applyAlignment="1">
      <alignment vertical="center"/>
    </xf>
    <xf numFmtId="0" fontId="18" fillId="4" borderId="2" xfId="0" applyFont="1" applyFill="1" applyBorder="1" applyAlignment="1">
      <alignment horizontal="center" vertical="center" wrapText="1"/>
    </xf>
    <xf numFmtId="0" fontId="18" fillId="4" borderId="0" xfId="0" applyFont="1" applyFill="1" applyAlignment="1">
      <alignment vertical="center"/>
    </xf>
    <xf numFmtId="3" fontId="11" fillId="4" borderId="2" xfId="0" applyNumberFormat="1" applyFont="1" applyFill="1" applyBorder="1" applyAlignment="1">
      <alignment horizontal="right" vertical="center"/>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wrapText="1"/>
    </xf>
    <xf numFmtId="3" fontId="14" fillId="4" borderId="2" xfId="1" applyNumberFormat="1" applyFont="1" applyFill="1" applyBorder="1" applyAlignment="1" applyProtection="1">
      <alignment vertical="center"/>
      <protection locked="0"/>
    </xf>
    <xf numFmtId="0" fontId="52" fillId="4" borderId="0" xfId="0" applyFont="1" applyFill="1" applyAlignment="1">
      <alignment vertical="center"/>
    </xf>
    <xf numFmtId="0" fontId="11" fillId="4" borderId="2" xfId="0" applyFont="1" applyFill="1" applyBorder="1" applyAlignment="1">
      <alignment horizontal="left" vertical="center" wrapText="1"/>
    </xf>
    <xf numFmtId="3" fontId="11" fillId="4" borderId="2" xfId="1" applyNumberFormat="1" applyFont="1" applyFill="1" applyBorder="1" applyAlignment="1" applyProtection="1">
      <alignment vertical="center"/>
      <protection locked="0"/>
    </xf>
    <xf numFmtId="0" fontId="10" fillId="4" borderId="2" xfId="0" applyFont="1" applyFill="1" applyBorder="1" applyAlignment="1">
      <alignment horizontal="center" vertical="center"/>
    </xf>
    <xf numFmtId="0" fontId="10" fillId="4" borderId="2" xfId="0" quotePrefix="1" applyFont="1" applyFill="1" applyBorder="1" applyAlignment="1">
      <alignment horizontal="left" vertical="center" wrapText="1"/>
    </xf>
    <xf numFmtId="3" fontId="10" fillId="4" borderId="2" xfId="1" applyNumberFormat="1" applyFont="1" applyFill="1" applyBorder="1" applyAlignment="1" applyProtection="1">
      <alignment vertical="center"/>
      <protection locked="0"/>
    </xf>
    <xf numFmtId="0" fontId="12" fillId="4" borderId="2" xfId="0" applyFont="1" applyFill="1" applyBorder="1" applyAlignment="1">
      <alignment horizontal="left" vertical="center" wrapText="1"/>
    </xf>
    <xf numFmtId="3" fontId="12" fillId="4" borderId="2" xfId="0" applyNumberFormat="1" applyFont="1" applyFill="1" applyBorder="1" applyAlignment="1">
      <alignment vertical="center"/>
    </xf>
    <xf numFmtId="0" fontId="11" fillId="4" borderId="2" xfId="0" quotePrefix="1" applyFont="1" applyFill="1" applyBorder="1" applyAlignment="1">
      <alignment horizontal="left" vertical="center" wrapText="1"/>
    </xf>
    <xf numFmtId="3" fontId="10" fillId="4" borderId="2" xfId="0" quotePrefix="1" applyNumberFormat="1" applyFont="1" applyFill="1" applyBorder="1" applyAlignment="1">
      <alignment vertical="center" wrapText="1"/>
    </xf>
    <xf numFmtId="3" fontId="10" fillId="4" borderId="2" xfId="0" quotePrefix="1" applyNumberFormat="1" applyFont="1" applyFill="1" applyBorder="1" applyAlignment="1">
      <alignment horizontal="center" vertical="center" wrapText="1"/>
    </xf>
    <xf numFmtId="3" fontId="12" fillId="4" borderId="2" xfId="3" applyNumberFormat="1" applyFont="1" applyFill="1" applyBorder="1" applyAlignment="1">
      <alignment vertical="center" wrapText="1"/>
    </xf>
    <xf numFmtId="3" fontId="12" fillId="4" borderId="2" xfId="3" applyNumberFormat="1" applyFont="1" applyFill="1" applyBorder="1" applyAlignment="1">
      <alignment horizontal="center" vertical="center" wrapText="1"/>
    </xf>
    <xf numFmtId="3" fontId="12" fillId="4" borderId="2" xfId="1" applyNumberFormat="1" applyFont="1" applyFill="1" applyBorder="1" applyAlignment="1" applyProtection="1">
      <alignment vertical="center"/>
      <protection locked="0"/>
    </xf>
    <xf numFmtId="0" fontId="12" fillId="4" borderId="2" xfId="0" applyFont="1" applyFill="1" applyBorder="1" applyAlignment="1">
      <alignment horizontal="center" vertical="center" wrapText="1"/>
    </xf>
    <xf numFmtId="3" fontId="14" fillId="4" borderId="2" xfId="0" applyNumberFormat="1" applyFont="1" applyFill="1" applyBorder="1" applyAlignment="1">
      <alignment horizontal="right" vertical="center"/>
    </xf>
    <xf numFmtId="3" fontId="11" fillId="4" borderId="2" xfId="0" applyNumberFormat="1" applyFont="1" applyFill="1" applyBorder="1" applyAlignment="1">
      <alignment horizontal="center" vertical="center" wrapText="1"/>
    </xf>
    <xf numFmtId="3" fontId="11" fillId="4" borderId="2" xfId="0" quotePrefix="1" applyNumberFormat="1" applyFont="1" applyFill="1" applyBorder="1" applyAlignment="1">
      <alignment horizontal="center" vertical="center" wrapText="1"/>
    </xf>
    <xf numFmtId="3" fontId="14" fillId="4" borderId="2" xfId="3" applyNumberFormat="1" applyFont="1" applyFill="1" applyBorder="1" applyAlignment="1">
      <alignment vertical="center"/>
    </xf>
    <xf numFmtId="0" fontId="19" fillId="4" borderId="0" xfId="0" applyFont="1" applyFill="1" applyAlignment="1">
      <alignment vertical="center"/>
    </xf>
    <xf numFmtId="0" fontId="14" fillId="4" borderId="2" xfId="0" quotePrefix="1" applyFont="1" applyFill="1" applyBorder="1" applyAlignment="1">
      <alignment horizontal="left" vertical="center" wrapText="1"/>
    </xf>
    <xf numFmtId="3" fontId="14" fillId="4" borderId="2" xfId="0" applyNumberFormat="1" applyFont="1" applyFill="1" applyBorder="1" applyAlignment="1">
      <alignment vertical="center"/>
    </xf>
    <xf numFmtId="0" fontId="14" fillId="4" borderId="0" xfId="0" applyFont="1" applyFill="1" applyAlignment="1">
      <alignment vertical="center"/>
    </xf>
    <xf numFmtId="3" fontId="10" fillId="4" borderId="2" xfId="0" applyNumberFormat="1" applyFont="1" applyFill="1" applyBorder="1" applyAlignment="1">
      <alignment horizontal="right" vertical="center" wrapText="1"/>
    </xf>
    <xf numFmtId="3" fontId="12" fillId="4" borderId="2" xfId="0" applyNumberFormat="1" applyFont="1" applyFill="1" applyBorder="1" applyAlignment="1">
      <alignment horizontal="right" vertical="center" wrapText="1"/>
    </xf>
    <xf numFmtId="3" fontId="14" fillId="4" borderId="2" xfId="0" applyNumberFormat="1" applyFont="1" applyFill="1" applyBorder="1" applyAlignment="1">
      <alignment horizontal="right" vertical="center" wrapText="1"/>
    </xf>
    <xf numFmtId="3" fontId="11" fillId="4" borderId="2" xfId="0" applyNumberFormat="1" applyFont="1" applyFill="1" applyBorder="1" applyAlignment="1">
      <alignment horizontal="right" vertical="center" wrapText="1"/>
    </xf>
    <xf numFmtId="3" fontId="10" fillId="4" borderId="2" xfId="0" applyNumberFormat="1" applyFont="1" applyFill="1" applyBorder="1" applyAlignment="1">
      <alignment vertical="center" wrapText="1"/>
    </xf>
    <xf numFmtId="3" fontId="10" fillId="4" borderId="2" xfId="0" applyNumberFormat="1" applyFont="1" applyFill="1" applyBorder="1" applyAlignment="1">
      <alignment horizontal="center" vertical="center" wrapText="1"/>
    </xf>
    <xf numFmtId="3" fontId="12" fillId="4" borderId="2" xfId="0" applyNumberFormat="1" applyFont="1" applyFill="1" applyBorder="1" applyAlignment="1">
      <alignment vertical="center" wrapText="1"/>
    </xf>
    <xf numFmtId="3" fontId="12" fillId="4" borderId="2" xfId="3" applyNumberFormat="1" applyFont="1" applyFill="1" applyBorder="1" applyAlignment="1">
      <alignment vertical="center"/>
    </xf>
    <xf numFmtId="3" fontId="11" fillId="4" borderId="2" xfId="3" applyNumberFormat="1" applyFont="1" applyFill="1" applyBorder="1" applyAlignment="1">
      <alignment vertical="center"/>
    </xf>
    <xf numFmtId="3" fontId="12" fillId="4" borderId="2" xfId="0" quotePrefix="1" applyNumberFormat="1" applyFont="1" applyFill="1" applyBorder="1" applyAlignment="1">
      <alignment vertical="center" wrapText="1"/>
    </xf>
    <xf numFmtId="0" fontId="12" fillId="4" borderId="2" xfId="0" quotePrefix="1" applyFont="1" applyFill="1" applyBorder="1" applyAlignment="1">
      <alignment horizontal="left" vertical="center" wrapText="1"/>
    </xf>
    <xf numFmtId="3" fontId="10" fillId="4" borderId="2" xfId="0" applyNumberFormat="1" applyFont="1" applyFill="1" applyBorder="1" applyAlignment="1">
      <alignment horizontal="right" vertical="center"/>
    </xf>
    <xf numFmtId="0" fontId="12" fillId="4" borderId="2" xfId="0" applyFont="1" applyFill="1" applyBorder="1" applyAlignment="1">
      <alignment vertical="center" wrapText="1"/>
    </xf>
    <xf numFmtId="0" fontId="12" fillId="4" borderId="2" xfId="0" quotePrefix="1" applyFont="1" applyFill="1" applyBorder="1" applyAlignment="1">
      <alignment vertical="center" wrapText="1"/>
    </xf>
    <xf numFmtId="3" fontId="11" fillId="4" borderId="2" xfId="0" quotePrefix="1" applyNumberFormat="1" applyFont="1" applyFill="1" applyBorder="1" applyAlignment="1">
      <alignment vertical="center" wrapText="1"/>
    </xf>
    <xf numFmtId="0" fontId="11" fillId="4" borderId="2" xfId="4" applyFont="1" applyFill="1" applyBorder="1" applyAlignment="1">
      <alignment horizontal="left" vertical="center" wrapText="1"/>
    </xf>
    <xf numFmtId="0" fontId="18" fillId="4" borderId="2" xfId="4" applyFont="1" applyFill="1" applyBorder="1" applyAlignment="1">
      <alignment horizontal="center" vertical="center" wrapText="1"/>
    </xf>
    <xf numFmtId="3" fontId="11" fillId="4" borderId="2" xfId="0" applyNumberFormat="1" applyFont="1" applyFill="1" applyBorder="1" applyAlignment="1">
      <alignment vertical="center" wrapText="1"/>
    </xf>
    <xf numFmtId="2" fontId="10" fillId="4" borderId="2" xfId="0" quotePrefix="1" applyNumberFormat="1" applyFont="1" applyFill="1" applyBorder="1" applyAlignment="1">
      <alignment vertical="center" wrapText="1"/>
    </xf>
    <xf numFmtId="2" fontId="10" fillId="4" borderId="2" xfId="0" quotePrefix="1"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10" fillId="4" borderId="2" xfId="0" applyFont="1" applyFill="1" applyBorder="1" applyAlignment="1">
      <alignment horizontal="left" vertical="center" wrapText="1"/>
    </xf>
    <xf numFmtId="167" fontId="11" fillId="4" borderId="2" xfId="0" applyNumberFormat="1" applyFont="1" applyFill="1" applyBorder="1" applyAlignment="1">
      <alignment vertical="center"/>
    </xf>
    <xf numFmtId="167" fontId="10" fillId="4" borderId="2" xfId="1" applyNumberFormat="1" applyFont="1" applyFill="1" applyBorder="1" applyAlignment="1">
      <alignment vertical="center"/>
    </xf>
    <xf numFmtId="0" fontId="11" fillId="4" borderId="1" xfId="0" applyFont="1" applyFill="1" applyBorder="1" applyAlignment="1">
      <alignment horizontal="center" vertical="center"/>
    </xf>
    <xf numFmtId="0" fontId="10" fillId="4" borderId="1" xfId="0" quotePrefix="1" applyFont="1" applyFill="1" applyBorder="1" applyAlignment="1">
      <alignment horizontal="left" vertical="center" wrapText="1"/>
    </xf>
    <xf numFmtId="0" fontId="10" fillId="4" borderId="1" xfId="0" quotePrefix="1" applyFont="1" applyFill="1" applyBorder="1" applyAlignment="1">
      <alignment horizontal="center" vertical="center" wrapText="1"/>
    </xf>
    <xf numFmtId="3" fontId="10" fillId="4" borderId="1" xfId="3" applyNumberFormat="1" applyFont="1" applyFill="1" applyBorder="1" applyAlignment="1">
      <alignment vertical="center"/>
    </xf>
    <xf numFmtId="3" fontId="11" fillId="4" borderId="12" xfId="0" applyNumberFormat="1" applyFont="1" applyFill="1" applyBorder="1" applyAlignment="1">
      <alignment vertical="center"/>
    </xf>
    <xf numFmtId="3" fontId="12" fillId="4" borderId="2" xfId="0" quotePrefix="1"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2" xfId="0" applyFont="1" applyFill="1" applyBorder="1" applyAlignment="1">
      <alignment vertical="center" wrapText="1"/>
    </xf>
    <xf numFmtId="0" fontId="11" fillId="5" borderId="2" xfId="0" applyFont="1" applyFill="1" applyBorder="1" applyAlignment="1">
      <alignment horizontal="center" vertical="center" wrapText="1"/>
    </xf>
    <xf numFmtId="3" fontId="11" fillId="5" borderId="2" xfId="1" applyNumberFormat="1" applyFont="1" applyFill="1" applyBorder="1" applyAlignment="1">
      <alignment vertical="center"/>
    </xf>
    <xf numFmtId="0" fontId="10" fillId="5" borderId="2" xfId="0" quotePrefix="1" applyFont="1" applyFill="1" applyBorder="1" applyAlignment="1">
      <alignment horizontal="left" vertical="center" wrapText="1"/>
    </xf>
    <xf numFmtId="0" fontId="10" fillId="5" borderId="2" xfId="0" quotePrefix="1" applyFont="1" applyFill="1" applyBorder="1" applyAlignment="1">
      <alignment horizontal="center" vertical="center" wrapText="1"/>
    </xf>
    <xf numFmtId="3" fontId="10" fillId="5" borderId="2" xfId="1" applyNumberFormat="1" applyFont="1" applyFill="1" applyBorder="1" applyAlignment="1" applyProtection="1">
      <alignment vertical="center"/>
      <protection locked="0"/>
    </xf>
    <xf numFmtId="0" fontId="10" fillId="5" borderId="0" xfId="0" applyFont="1" applyFill="1" applyAlignment="1">
      <alignment vertical="center"/>
    </xf>
    <xf numFmtId="0" fontId="10" fillId="5" borderId="2" xfId="0" applyFont="1" applyFill="1" applyBorder="1" applyAlignment="1">
      <alignment horizontal="center" vertical="center"/>
    </xf>
    <xf numFmtId="3" fontId="10" fillId="5" borderId="2" xfId="0" applyNumberFormat="1" applyFont="1" applyFill="1" applyBorder="1" applyAlignment="1">
      <alignment horizontal="right" vertical="center" wrapText="1"/>
    </xf>
    <xf numFmtId="3" fontId="10" fillId="5" borderId="2" xfId="0" applyNumberFormat="1" applyFont="1" applyFill="1" applyBorder="1" applyAlignment="1">
      <alignment vertical="center"/>
    </xf>
    <xf numFmtId="0" fontId="14" fillId="5" borderId="2" xfId="0" applyFont="1" applyFill="1" applyBorder="1" applyAlignment="1">
      <alignment horizontal="center" vertical="center"/>
    </xf>
    <xf numFmtId="0" fontId="12" fillId="5" borderId="0" xfId="0" applyFont="1" applyFill="1" applyAlignment="1">
      <alignment vertical="center"/>
    </xf>
    <xf numFmtId="0" fontId="11" fillId="2" borderId="2" xfId="0" applyFont="1" applyFill="1" applyBorder="1" applyAlignment="1">
      <alignment horizontal="center" vertical="center"/>
    </xf>
    <xf numFmtId="0" fontId="11" fillId="2" borderId="2" xfId="0" applyFont="1" applyFill="1" applyBorder="1" applyAlignment="1">
      <alignment vertical="center" wrapText="1"/>
    </xf>
    <xf numFmtId="0" fontId="18" fillId="2" borderId="2" xfId="0" applyFont="1" applyFill="1" applyBorder="1" applyAlignment="1">
      <alignment horizontal="center" vertical="center" wrapText="1"/>
    </xf>
    <xf numFmtId="3" fontId="11" fillId="2" borderId="2" xfId="1" applyNumberFormat="1" applyFont="1" applyFill="1" applyBorder="1" applyAlignment="1">
      <alignment vertical="center"/>
    </xf>
    <xf numFmtId="0" fontId="11" fillId="2" borderId="2" xfId="0"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11" fillId="2" borderId="2" xfId="0" applyFont="1" applyFill="1" applyBorder="1" applyAlignment="1">
      <alignment horizontal="left" vertical="center" wrapText="1"/>
    </xf>
    <xf numFmtId="3" fontId="54" fillId="4" borderId="0" xfId="0" applyNumberFormat="1" applyFont="1" applyFill="1" applyAlignment="1">
      <alignment vertical="center"/>
    </xf>
    <xf numFmtId="3" fontId="18" fillId="4" borderId="0" xfId="0" applyNumberFormat="1" applyFont="1" applyFill="1" applyAlignment="1">
      <alignment vertical="center"/>
    </xf>
    <xf numFmtId="3" fontId="55" fillId="4" borderId="0" xfId="0" applyNumberFormat="1" applyFont="1" applyFill="1" applyAlignment="1">
      <alignment vertical="center"/>
    </xf>
    <xf numFmtId="3" fontId="56" fillId="4" borderId="0" xfId="0" applyNumberFormat="1" applyFont="1" applyFill="1" applyAlignment="1">
      <alignment vertical="center"/>
    </xf>
    <xf numFmtId="3" fontId="57" fillId="4" borderId="0" xfId="0" applyNumberFormat="1" applyFont="1" applyFill="1" applyAlignment="1">
      <alignment vertical="center"/>
    </xf>
    <xf numFmtId="3" fontId="58" fillId="4" borderId="0" xfId="0" applyNumberFormat="1" applyFont="1" applyFill="1" applyAlignment="1">
      <alignment vertical="center"/>
    </xf>
    <xf numFmtId="3" fontId="59" fillId="4" borderId="0" xfId="0" applyNumberFormat="1" applyFont="1" applyFill="1" applyAlignment="1">
      <alignment vertical="center"/>
    </xf>
    <xf numFmtId="3" fontId="60" fillId="4" borderId="0" xfId="0" applyNumberFormat="1" applyFont="1" applyFill="1" applyAlignment="1">
      <alignment vertical="center"/>
    </xf>
    <xf numFmtId="3" fontId="54" fillId="5" borderId="0" xfId="0" applyNumberFormat="1" applyFont="1" applyFill="1" applyAlignment="1">
      <alignment vertical="center"/>
    </xf>
    <xf numFmtId="3" fontId="55" fillId="5" borderId="0" xfId="0" applyNumberFormat="1" applyFont="1" applyFill="1" applyAlignment="1">
      <alignment vertical="center"/>
    </xf>
    <xf numFmtId="0" fontId="62" fillId="4" borderId="13" xfId="6" quotePrefix="1" applyFont="1" applyFill="1" applyBorder="1" applyAlignment="1" applyProtection="1">
      <alignment horizontal="left" vertical="center" wrapText="1"/>
      <protection hidden="1"/>
    </xf>
    <xf numFmtId="0" fontId="64" fillId="0" borderId="2" xfId="0" applyFont="1" applyBorder="1" applyAlignment="1">
      <alignment horizontal="center" vertical="center"/>
    </xf>
    <xf numFmtId="0" fontId="64" fillId="0" borderId="2" xfId="0" applyFont="1" applyBorder="1" applyAlignment="1">
      <alignment vertical="center" wrapText="1"/>
    </xf>
    <xf numFmtId="0" fontId="65" fillId="0" borderId="2" xfId="0" applyFont="1" applyBorder="1" applyAlignment="1">
      <alignment horizontal="center" vertical="center"/>
    </xf>
    <xf numFmtId="0" fontId="65" fillId="0" borderId="2" xfId="0" applyFont="1" applyBorder="1" applyAlignment="1">
      <alignment vertical="center" wrapText="1"/>
    </xf>
    <xf numFmtId="0" fontId="11" fillId="0" borderId="2" xfId="0" applyFont="1" applyBorder="1" applyAlignment="1">
      <alignment horizontal="center" vertical="center"/>
    </xf>
    <xf numFmtId="0" fontId="11" fillId="0" borderId="2" xfId="0" quotePrefix="1"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vertical="center" wrapText="1"/>
    </xf>
    <xf numFmtId="0" fontId="12" fillId="0" borderId="2" xfId="0" applyFont="1" applyBorder="1" applyAlignment="1">
      <alignment horizontal="center" vertical="center"/>
    </xf>
    <xf numFmtId="0" fontId="67" fillId="0" borderId="2" xfId="0" applyFont="1" applyBorder="1" applyAlignment="1">
      <alignment horizontal="center" vertical="center"/>
    </xf>
    <xf numFmtId="0" fontId="67" fillId="0" borderId="2" xfId="0" applyFont="1" applyBorder="1" applyAlignment="1">
      <alignment vertical="center" wrapText="1"/>
    </xf>
    <xf numFmtId="0" fontId="10" fillId="0" borderId="2" xfId="0" quotePrefix="1" applyFont="1" applyBorder="1" applyAlignment="1">
      <alignment vertical="center" wrapText="1"/>
    </xf>
    <xf numFmtId="0" fontId="67" fillId="0" borderId="2" xfId="0" applyFont="1" applyBorder="1" applyAlignment="1">
      <alignment horizontal="left" vertical="top" wrapText="1"/>
    </xf>
    <xf numFmtId="0" fontId="64" fillId="0" borderId="2" xfId="4" applyFont="1" applyBorder="1" applyAlignment="1">
      <alignment horizontal="left" vertical="center" wrapText="1"/>
    </xf>
    <xf numFmtId="0" fontId="62" fillId="4" borderId="0" xfId="2" quotePrefix="1" applyFont="1" applyFill="1" applyAlignment="1">
      <alignment horizontal="left" vertical="center" wrapText="1"/>
    </xf>
    <xf numFmtId="3" fontId="10" fillId="4" borderId="2" xfId="1" applyNumberFormat="1" applyFont="1" applyFill="1" applyBorder="1" applyAlignment="1">
      <alignment vertical="center"/>
    </xf>
    <xf numFmtId="0" fontId="62" fillId="4" borderId="13" xfId="6" applyFont="1" applyFill="1" applyBorder="1" applyAlignment="1" applyProtection="1">
      <alignment horizontal="left" vertical="center" wrapText="1"/>
      <protection hidden="1"/>
    </xf>
    <xf numFmtId="0" fontId="170" fillId="0" borderId="2" xfId="0" applyFont="1" applyBorder="1" applyAlignment="1">
      <alignment horizontal="center" vertical="center"/>
    </xf>
    <xf numFmtId="0" fontId="171" fillId="4" borderId="13" xfId="2" applyFont="1" applyFill="1" applyBorder="1" applyAlignment="1">
      <alignment horizontal="left" vertical="center" wrapText="1"/>
    </xf>
    <xf numFmtId="0" fontId="170" fillId="4" borderId="2" xfId="0" applyFont="1" applyFill="1" applyBorder="1" applyAlignment="1">
      <alignment horizontal="center" vertical="center" wrapText="1"/>
    </xf>
    <xf numFmtId="0" fontId="170" fillId="4" borderId="2" xfId="0" quotePrefix="1" applyFont="1" applyFill="1" applyBorder="1" applyAlignment="1">
      <alignment horizontal="center" vertical="center" wrapText="1"/>
    </xf>
    <xf numFmtId="3" fontId="170" fillId="4" borderId="2" xfId="1" applyNumberFormat="1" applyFont="1" applyFill="1" applyBorder="1" applyAlignment="1">
      <alignment vertical="center"/>
    </xf>
    <xf numFmtId="3" fontId="170" fillId="4" borderId="0" xfId="0" applyNumberFormat="1" applyFont="1" applyFill="1" applyAlignment="1">
      <alignment vertical="center"/>
    </xf>
    <xf numFmtId="0" fontId="170" fillId="4" borderId="0" xfId="0" applyFont="1" applyFill="1" applyAlignment="1">
      <alignment vertical="center"/>
    </xf>
    <xf numFmtId="0" fontId="170" fillId="0" borderId="2" xfId="0" quotePrefix="1" applyFont="1" applyBorder="1" applyAlignment="1">
      <alignment vertical="center" wrapText="1"/>
    </xf>
    <xf numFmtId="3" fontId="56" fillId="4" borderId="2" xfId="1" applyNumberFormat="1" applyFont="1" applyFill="1" applyBorder="1" applyAlignment="1">
      <alignment vertical="center"/>
    </xf>
    <xf numFmtId="3" fontId="14" fillId="4" borderId="2" xfId="0" applyNumberFormat="1" applyFont="1" applyFill="1" applyBorder="1" applyAlignment="1">
      <alignment vertical="center" wrapText="1"/>
    </xf>
    <xf numFmtId="3" fontId="14" fillId="4" borderId="2" xfId="0" applyNumberFormat="1" applyFont="1" applyFill="1" applyBorder="1" applyAlignment="1">
      <alignment horizontal="center" vertical="center" wrapText="1"/>
    </xf>
    <xf numFmtId="3" fontId="10" fillId="4" borderId="0" xfId="0" applyNumberFormat="1" applyFont="1" applyFill="1" applyAlignment="1">
      <alignment horizontal="center" vertical="center"/>
    </xf>
    <xf numFmtId="0" fontId="54" fillId="4" borderId="0" xfId="0" applyFont="1" applyFill="1" applyAlignment="1">
      <alignment vertical="center"/>
    </xf>
    <xf numFmtId="0" fontId="55" fillId="4" borderId="0" xfId="0" applyFont="1" applyFill="1" applyAlignment="1">
      <alignment vertical="center"/>
    </xf>
    <xf numFmtId="3" fontId="11" fillId="4" borderId="3" xfId="0" applyNumberFormat="1" applyFont="1" applyFill="1" applyBorder="1" applyAlignment="1">
      <alignment horizontal="center" vertical="center" wrapText="1"/>
    </xf>
    <xf numFmtId="3" fontId="12" fillId="4" borderId="0" xfId="0" applyNumberFormat="1" applyFont="1" applyFill="1" applyAlignment="1">
      <alignment horizontal="right" vertical="center"/>
    </xf>
    <xf numFmtId="4" fontId="172" fillId="4" borderId="3" xfId="344" applyNumberFormat="1" applyFont="1" applyFill="1" applyBorder="1" applyAlignment="1">
      <alignment horizontal="center" vertical="center" wrapText="1"/>
    </xf>
    <xf numFmtId="3" fontId="11" fillId="4" borderId="0" xfId="0" applyNumberFormat="1" applyFont="1" applyFill="1" applyAlignment="1">
      <alignment vertical="center"/>
    </xf>
    <xf numFmtId="4" fontId="10" fillId="4" borderId="0" xfId="0" applyNumberFormat="1" applyFont="1" applyFill="1" applyAlignment="1">
      <alignment horizontal="center" vertical="center"/>
    </xf>
    <xf numFmtId="3" fontId="12" fillId="4" borderId="0" xfId="0" applyNumberFormat="1" applyFont="1" applyFill="1" applyAlignment="1">
      <alignment vertical="center"/>
    </xf>
    <xf numFmtId="0" fontId="11" fillId="2" borderId="0" xfId="0" applyFont="1" applyFill="1" applyAlignment="1">
      <alignment vertical="center"/>
    </xf>
    <xf numFmtId="3" fontId="11" fillId="2" borderId="0" xfId="0" applyNumberFormat="1" applyFont="1" applyFill="1" applyAlignment="1">
      <alignment vertical="center"/>
    </xf>
    <xf numFmtId="0" fontId="14" fillId="57" borderId="0" xfId="0" applyFont="1" applyFill="1" applyAlignment="1">
      <alignment vertical="center"/>
    </xf>
    <xf numFmtId="3" fontId="14" fillId="57" borderId="0" xfId="0" applyNumberFormat="1" applyFont="1" applyFill="1" applyAlignment="1">
      <alignment vertical="center"/>
    </xf>
    <xf numFmtId="168" fontId="175" fillId="4" borderId="0" xfId="544" applyNumberFormat="1" applyFont="1" applyFill="1" applyAlignment="1" applyProtection="1">
      <alignment horizontal="center" vertical="center" wrapText="1"/>
    </xf>
    <xf numFmtId="43" fontId="175" fillId="4" borderId="0" xfId="544" applyFont="1" applyFill="1" applyAlignment="1" applyProtection="1">
      <alignment horizontal="center" vertical="center" wrapText="1"/>
    </xf>
    <xf numFmtId="3" fontId="175" fillId="4" borderId="0" xfId="543" applyNumberFormat="1" applyFont="1" applyFill="1" applyAlignment="1" applyProtection="1">
      <alignment horizontal="center" vertical="center" wrapText="1"/>
    </xf>
    <xf numFmtId="3" fontId="30" fillId="4" borderId="0" xfId="543" applyNumberFormat="1" applyFont="1" applyFill="1" applyAlignment="1" applyProtection="1">
      <alignment vertical="center" wrapText="1"/>
    </xf>
    <xf numFmtId="3" fontId="30" fillId="4" borderId="0" xfId="544" applyNumberFormat="1" applyFont="1" applyFill="1" applyAlignment="1" applyProtection="1">
      <alignment vertical="center" wrapText="1"/>
    </xf>
    <xf numFmtId="0" fontId="30" fillId="4" borderId="0" xfId="543" applyFont="1" applyFill="1" applyAlignment="1" applyProtection="1">
      <alignment vertical="center" wrapText="1"/>
    </xf>
    <xf numFmtId="168" fontId="176" fillId="4" borderId="0" xfId="544" applyNumberFormat="1" applyFont="1" applyFill="1" applyAlignment="1" applyProtection="1">
      <alignment horizontal="center" vertical="center" wrapText="1"/>
    </xf>
    <xf numFmtId="43" fontId="176" fillId="4" borderId="0" xfId="544" applyFont="1" applyFill="1" applyAlignment="1" applyProtection="1">
      <alignment horizontal="center" vertical="center" wrapText="1"/>
    </xf>
    <xf numFmtId="3" fontId="176"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168" fontId="179" fillId="4" borderId="0" xfId="544" applyNumberFormat="1" applyFont="1" applyFill="1" applyAlignment="1" applyProtection="1">
      <alignment horizontal="center" vertical="center" wrapText="1"/>
    </xf>
    <xf numFmtId="43" fontId="179" fillId="4" borderId="0" xfId="544" applyFont="1" applyFill="1" applyAlignment="1" applyProtection="1">
      <alignment horizontal="center" vertical="center" wrapText="1"/>
    </xf>
    <xf numFmtId="3" fontId="179" fillId="4" borderId="0" xfId="543" applyNumberFormat="1" applyFont="1" applyFill="1" applyAlignment="1" applyProtection="1">
      <alignment horizontal="center" vertical="center" wrapText="1"/>
    </xf>
    <xf numFmtId="168" fontId="181" fillId="4" borderId="0" xfId="544" applyNumberFormat="1" applyFont="1" applyFill="1" applyAlignment="1" applyProtection="1">
      <alignment horizontal="center" vertical="center" wrapText="1"/>
    </xf>
    <xf numFmtId="43" fontId="181" fillId="4" borderId="0" xfId="544" applyFont="1" applyFill="1" applyAlignment="1" applyProtection="1">
      <alignment horizontal="center" vertical="center" wrapText="1"/>
    </xf>
    <xf numFmtId="3" fontId="181" fillId="4" borderId="0" xfId="543" applyNumberFormat="1" applyFont="1" applyFill="1" applyAlignment="1" applyProtection="1">
      <alignment horizontal="center" vertical="center" wrapText="1"/>
    </xf>
    <xf numFmtId="168" fontId="182" fillId="4" borderId="0" xfId="544" applyNumberFormat="1" applyFont="1" applyFill="1" applyAlignment="1" applyProtection="1">
      <alignment horizontal="center" vertical="center" wrapText="1"/>
    </xf>
    <xf numFmtId="43" fontId="182" fillId="4" borderId="0" xfId="544" applyFont="1" applyFill="1" applyAlignment="1" applyProtection="1">
      <alignment horizontal="center" vertical="center" wrapText="1"/>
    </xf>
    <xf numFmtId="3" fontId="182" fillId="4" borderId="0" xfId="543" applyNumberFormat="1" applyFont="1" applyFill="1" applyAlignment="1" applyProtection="1">
      <alignment horizontal="center" vertical="center" wrapText="1"/>
    </xf>
    <xf numFmtId="168" fontId="183" fillId="4" borderId="0" xfId="544" applyNumberFormat="1" applyFont="1" applyFill="1" applyAlignment="1" applyProtection="1">
      <alignment horizontal="left" vertical="center" wrapText="1"/>
    </xf>
    <xf numFmtId="43" fontId="183" fillId="4" borderId="0" xfId="544" applyFont="1" applyFill="1" applyAlignment="1" applyProtection="1">
      <alignment horizontal="left" vertical="center" wrapText="1"/>
    </xf>
    <xf numFmtId="3" fontId="183" fillId="4" borderId="0" xfId="543" applyNumberFormat="1" applyFont="1" applyFill="1" applyAlignment="1" applyProtection="1">
      <alignment horizontal="left" vertical="center" wrapText="1"/>
    </xf>
    <xf numFmtId="4" fontId="16" fillId="4" borderId="0" xfId="543" applyNumberFormat="1" applyFont="1" applyFill="1" applyAlignment="1" applyProtection="1">
      <alignment horizontal="right" vertical="center" wrapText="1"/>
    </xf>
    <xf numFmtId="4" fontId="16" fillId="2" borderId="0" xfId="543" applyNumberFormat="1" applyFont="1" applyFill="1" applyAlignment="1" applyProtection="1">
      <alignment horizontal="right" vertical="center" wrapText="1"/>
    </xf>
    <xf numFmtId="168" fontId="184" fillId="4" borderId="0" xfId="544" applyNumberFormat="1" applyFont="1" applyFill="1" applyBorder="1" applyAlignment="1" applyProtection="1">
      <alignment horizontal="right" vertical="center" wrapText="1"/>
    </xf>
    <xf numFmtId="43" fontId="184" fillId="4" borderId="0" xfId="544" applyFont="1" applyFill="1" applyBorder="1" applyAlignment="1" applyProtection="1">
      <alignment horizontal="right" vertical="center" wrapText="1"/>
    </xf>
    <xf numFmtId="3" fontId="184" fillId="4" borderId="0" xfId="543" applyNumberFormat="1" applyFont="1" applyFill="1" applyAlignment="1" applyProtection="1">
      <alignment horizontal="right" vertical="center" wrapText="1"/>
    </xf>
    <xf numFmtId="0" fontId="174" fillId="4" borderId="3" xfId="543" applyFont="1" applyFill="1" applyBorder="1" applyAlignment="1" applyProtection="1">
      <alignment horizontal="center" vertical="center" wrapText="1"/>
    </xf>
    <xf numFmtId="4" fontId="174" fillId="4" borderId="3" xfId="543" applyNumberFormat="1" applyFont="1" applyFill="1" applyBorder="1" applyAlignment="1" applyProtection="1">
      <alignment horizontal="center" vertical="center" wrapText="1"/>
    </xf>
    <xf numFmtId="4" fontId="174" fillId="2" borderId="3" xfId="543" applyNumberFormat="1" applyFont="1" applyFill="1" applyBorder="1" applyAlignment="1" applyProtection="1">
      <alignment horizontal="center" vertical="center" wrapText="1"/>
    </xf>
    <xf numFmtId="168" fontId="181" fillId="4" borderId="0" xfId="544" applyNumberFormat="1" applyFont="1" applyFill="1" applyBorder="1" applyAlignment="1" applyProtection="1">
      <alignment horizontal="center" vertical="center" wrapText="1"/>
    </xf>
    <xf numFmtId="43" fontId="181" fillId="4" borderId="0" xfId="544" applyFont="1" applyFill="1" applyBorder="1" applyAlignment="1" applyProtection="1">
      <alignment horizontal="center" vertical="center" wrapText="1"/>
    </xf>
    <xf numFmtId="3" fontId="53" fillId="4" borderId="3" xfId="544" applyNumberFormat="1" applyFont="1" applyFill="1" applyBorder="1" applyAlignment="1" applyProtection="1">
      <alignment horizontal="center" vertical="center" wrapText="1"/>
    </xf>
    <xf numFmtId="3" fontId="53" fillId="4" borderId="3" xfId="543" applyNumberFormat="1" applyFont="1" applyFill="1" applyBorder="1" applyAlignment="1" applyProtection="1">
      <alignment horizontal="center" vertical="center" wrapText="1"/>
    </xf>
    <xf numFmtId="0" fontId="53" fillId="4" borderId="3" xfId="543" applyFont="1" applyFill="1" applyBorder="1" applyAlignment="1" applyProtection="1">
      <alignment horizontal="center" vertical="center" wrapText="1"/>
    </xf>
    <xf numFmtId="0" fontId="62" fillId="4" borderId="0" xfId="543" applyFont="1" applyFill="1" applyAlignment="1" applyProtection="1">
      <alignment horizontal="center" vertical="center" wrapText="1"/>
    </xf>
    <xf numFmtId="0" fontId="43" fillId="4" borderId="3" xfId="543" applyFont="1" applyFill="1" applyBorder="1" applyAlignment="1" applyProtection="1">
      <alignment horizontal="center" vertical="center" wrapText="1"/>
    </xf>
    <xf numFmtId="3" fontId="178" fillId="4" borderId="3" xfId="543" applyNumberFormat="1" applyFont="1" applyFill="1" applyBorder="1" applyAlignment="1" applyProtection="1">
      <alignment horizontal="center" vertical="center" wrapText="1"/>
    </xf>
    <xf numFmtId="4" fontId="178" fillId="4" borderId="3" xfId="543" quotePrefix="1" applyNumberFormat="1" applyFont="1" applyFill="1" applyBorder="1" applyAlignment="1" applyProtection="1">
      <alignment horizontal="center" vertical="center" wrapText="1"/>
    </xf>
    <xf numFmtId="4" fontId="178" fillId="2" borderId="3" xfId="543" applyNumberFormat="1" applyFont="1" applyFill="1" applyBorder="1" applyAlignment="1" applyProtection="1">
      <alignment horizontal="center" vertical="center" wrapText="1"/>
    </xf>
    <xf numFmtId="4" fontId="178" fillId="4" borderId="3" xfId="543" applyNumberFormat="1" applyFont="1" applyFill="1" applyBorder="1" applyAlignment="1" applyProtection="1">
      <alignment horizontal="center" vertical="center" wrapText="1"/>
    </xf>
    <xf numFmtId="168" fontId="185" fillId="4" borderId="0" xfId="544" applyNumberFormat="1" applyFont="1" applyFill="1" applyBorder="1" applyAlignment="1" applyProtection="1">
      <alignment horizontal="center" vertical="center" wrapText="1"/>
    </xf>
    <xf numFmtId="43" fontId="185" fillId="4" borderId="0" xfId="544" applyFont="1" applyFill="1" applyBorder="1" applyAlignment="1" applyProtection="1">
      <alignment horizontal="center" vertical="center" wrapText="1"/>
    </xf>
    <xf numFmtId="3" fontId="185" fillId="4" borderId="0" xfId="543" applyNumberFormat="1" applyFont="1" applyFill="1" applyAlignment="1" applyProtection="1">
      <alignment horizontal="center" vertical="center" wrapText="1"/>
    </xf>
    <xf numFmtId="3" fontId="30" fillId="4" borderId="3" xfId="544" applyNumberFormat="1" applyFont="1" applyFill="1" applyBorder="1" applyAlignment="1" applyProtection="1">
      <alignment vertical="center" wrapText="1"/>
    </xf>
    <xf numFmtId="3" fontId="30" fillId="4" borderId="3" xfId="543" applyNumberFormat="1" applyFont="1" applyFill="1" applyBorder="1" applyAlignment="1" applyProtection="1">
      <alignment vertical="center" wrapText="1"/>
    </xf>
    <xf numFmtId="0" fontId="30" fillId="4" borderId="3" xfId="543" applyFont="1" applyFill="1" applyBorder="1" applyAlignment="1" applyProtection="1">
      <alignment vertical="center" wrapText="1"/>
    </xf>
    <xf numFmtId="0" fontId="174" fillId="4" borderId="3" xfId="543" applyFont="1" applyFill="1" applyBorder="1" applyAlignment="1" applyProtection="1">
      <alignment vertical="center" wrapText="1"/>
    </xf>
    <xf numFmtId="4" fontId="36" fillId="4" borderId="3" xfId="543" applyNumberFormat="1" applyFont="1" applyFill="1" applyBorder="1" applyAlignment="1" applyProtection="1">
      <alignment horizontal="right" vertical="center" wrapText="1"/>
    </xf>
    <xf numFmtId="4" fontId="178" fillId="4" borderId="3" xfId="543" applyNumberFormat="1" applyFont="1" applyFill="1" applyBorder="1" applyAlignment="1" applyProtection="1">
      <alignment horizontal="right" vertical="center" wrapText="1"/>
    </xf>
    <xf numFmtId="4" fontId="178" fillId="2" borderId="3" xfId="543" applyNumberFormat="1" applyFont="1" applyFill="1" applyBorder="1" applyAlignment="1" applyProtection="1">
      <alignment horizontal="right" vertical="center" wrapText="1"/>
    </xf>
    <xf numFmtId="168" fontId="184" fillId="4" borderId="0" xfId="544" applyNumberFormat="1" applyFont="1" applyFill="1" applyBorder="1" applyAlignment="1" applyProtection="1">
      <alignment horizontal="center" vertical="center" wrapText="1"/>
    </xf>
    <xf numFmtId="43" fontId="184" fillId="4" borderId="0" xfId="544" applyFont="1" applyFill="1" applyBorder="1" applyAlignment="1" applyProtection="1">
      <alignment horizontal="center" vertical="center" wrapText="1"/>
    </xf>
    <xf numFmtId="3" fontId="184" fillId="4" borderId="0" xfId="543" applyNumberFormat="1" applyFont="1" applyFill="1" applyAlignment="1" applyProtection="1">
      <alignment horizontal="center" vertical="center" wrapText="1"/>
    </xf>
    <xf numFmtId="4" fontId="174" fillId="4" borderId="3" xfId="543" applyNumberFormat="1" applyFont="1" applyFill="1" applyBorder="1" applyAlignment="1" applyProtection="1">
      <alignment horizontal="right" vertical="center" wrapText="1"/>
    </xf>
    <xf numFmtId="4" fontId="174" fillId="2" borderId="3" xfId="543" applyNumberFormat="1" applyFont="1" applyFill="1" applyBorder="1" applyAlignment="1" applyProtection="1">
      <alignment horizontal="right" vertical="center" wrapText="1"/>
    </xf>
    <xf numFmtId="168" fontId="181" fillId="4" borderId="0" xfId="544" applyNumberFormat="1" applyFont="1" applyFill="1" applyBorder="1" applyAlignment="1" applyProtection="1">
      <alignment horizontal="right" vertical="center" wrapText="1"/>
    </xf>
    <xf numFmtId="43" fontId="181" fillId="4" borderId="0" xfId="544" applyFont="1" applyFill="1" applyBorder="1" applyAlignment="1" applyProtection="1">
      <alignment horizontal="right" vertical="center" wrapText="1"/>
    </xf>
    <xf numFmtId="3" fontId="181" fillId="4" borderId="0" xfId="543" applyNumberFormat="1" applyFont="1" applyFill="1" applyAlignment="1" applyProtection="1">
      <alignment horizontal="right" vertical="center" wrapText="1"/>
    </xf>
    <xf numFmtId="3" fontId="174" fillId="4" borderId="3" xfId="543" applyNumberFormat="1" applyFont="1" applyFill="1" applyBorder="1" applyAlignment="1" applyProtection="1">
      <alignment vertical="center" wrapText="1"/>
    </xf>
    <xf numFmtId="43" fontId="174" fillId="2" borderId="3" xfId="544" applyFont="1" applyFill="1" applyBorder="1" applyAlignment="1" applyProtection="1">
      <alignment horizontal="right" vertical="center" wrapText="1"/>
    </xf>
    <xf numFmtId="3" fontId="172" fillId="4" borderId="3" xfId="543" applyNumberFormat="1" applyFont="1" applyFill="1" applyBorder="1" applyAlignment="1" applyProtection="1">
      <alignment vertical="center" wrapText="1"/>
    </xf>
    <xf numFmtId="0" fontId="172" fillId="4" borderId="0" xfId="543" applyFont="1" applyFill="1" applyAlignment="1" applyProtection="1">
      <alignment vertical="center" wrapText="1"/>
    </xf>
    <xf numFmtId="0" fontId="16" fillId="4" borderId="3" xfId="543" applyFont="1" applyFill="1" applyBorder="1" applyAlignment="1" applyProtection="1">
      <alignment vertical="center" wrapText="1"/>
    </xf>
    <xf numFmtId="4" fontId="16" fillId="4" borderId="3" xfId="543" applyNumberFormat="1" applyFont="1" applyFill="1" applyBorder="1" applyAlignment="1" applyProtection="1">
      <alignment horizontal="right" vertical="center" wrapText="1"/>
    </xf>
    <xf numFmtId="0" fontId="172" fillId="4" borderId="3" xfId="543" applyFont="1" applyFill="1" applyBorder="1" applyAlignment="1" applyProtection="1">
      <alignment vertical="center" wrapText="1"/>
    </xf>
    <xf numFmtId="0" fontId="16" fillId="4" borderId="3" xfId="543" applyFont="1" applyFill="1" applyBorder="1" applyAlignment="1" applyProtection="1">
      <alignment horizontal="center" vertical="center" wrapText="1"/>
    </xf>
    <xf numFmtId="168" fontId="182" fillId="4" borderId="0" xfId="544" applyNumberFormat="1" applyFont="1" applyFill="1" applyBorder="1" applyAlignment="1" applyProtection="1">
      <alignment horizontal="center" vertical="center" wrapText="1"/>
    </xf>
    <xf numFmtId="43" fontId="182" fillId="4" borderId="0" xfId="544" applyFont="1" applyFill="1" applyBorder="1" applyAlignment="1" applyProtection="1">
      <alignment horizontal="center" vertical="center" wrapText="1"/>
    </xf>
    <xf numFmtId="4" fontId="16" fillId="2" borderId="3" xfId="543" applyNumberFormat="1" applyFont="1" applyFill="1" applyBorder="1" applyAlignment="1" applyProtection="1">
      <alignment horizontal="right" vertical="center" wrapText="1"/>
    </xf>
    <xf numFmtId="168" fontId="182" fillId="4" borderId="0" xfId="544" applyNumberFormat="1" applyFont="1" applyFill="1" applyBorder="1" applyAlignment="1" applyProtection="1">
      <alignment horizontal="right" vertical="center" wrapText="1"/>
    </xf>
    <xf numFmtId="43" fontId="182" fillId="4" borderId="0" xfId="544" applyFont="1" applyFill="1" applyBorder="1" applyAlignment="1" applyProtection="1">
      <alignment horizontal="right" vertical="center" wrapText="1"/>
    </xf>
    <xf numFmtId="3" fontId="182" fillId="4" borderId="0" xfId="543" applyNumberFormat="1" applyFont="1" applyFill="1" applyAlignment="1" applyProtection="1">
      <alignment horizontal="right" vertical="center" wrapText="1"/>
    </xf>
    <xf numFmtId="4" fontId="174" fillId="4" borderId="3" xfId="544" applyNumberFormat="1" applyFont="1" applyFill="1" applyBorder="1" applyAlignment="1" applyProtection="1">
      <alignment horizontal="right" vertical="center" wrapText="1"/>
    </xf>
    <xf numFmtId="43" fontId="174" fillId="4" borderId="3" xfId="544" applyFont="1" applyFill="1" applyBorder="1" applyAlignment="1" applyProtection="1">
      <alignment horizontal="right" vertical="center" wrapText="1"/>
    </xf>
    <xf numFmtId="0" fontId="36" fillId="4" borderId="3" xfId="543" applyFont="1" applyFill="1" applyBorder="1" applyAlignment="1" applyProtection="1">
      <alignment horizontal="center" vertical="center" wrapText="1"/>
    </xf>
    <xf numFmtId="0" fontId="36" fillId="4" borderId="3" xfId="543" applyFont="1" applyFill="1" applyBorder="1" applyAlignment="1" applyProtection="1">
      <alignment vertical="center" wrapText="1"/>
    </xf>
    <xf numFmtId="4" fontId="36" fillId="4" borderId="3" xfId="544" applyNumberFormat="1" applyFont="1" applyFill="1" applyBorder="1" applyAlignment="1" applyProtection="1">
      <alignment horizontal="right" vertical="center" wrapText="1"/>
    </xf>
    <xf numFmtId="43" fontId="36" fillId="4" borderId="3" xfId="544" applyFont="1" applyFill="1" applyBorder="1" applyAlignment="1" applyProtection="1">
      <alignment horizontal="right" vertical="center" wrapText="1"/>
    </xf>
    <xf numFmtId="43" fontId="36" fillId="2" borderId="3" xfId="544" applyFont="1" applyFill="1" applyBorder="1" applyAlignment="1" applyProtection="1">
      <alignment horizontal="right" vertical="center" wrapText="1"/>
    </xf>
    <xf numFmtId="4" fontId="16" fillId="4" borderId="3" xfId="544" applyNumberFormat="1" applyFont="1" applyFill="1" applyBorder="1" applyAlignment="1" applyProtection="1">
      <alignment horizontal="right" vertical="center" wrapText="1"/>
    </xf>
    <xf numFmtId="43" fontId="16" fillId="4" borderId="3" xfId="544" applyFont="1" applyFill="1" applyBorder="1" applyAlignment="1" applyProtection="1">
      <alignment horizontal="right" vertical="center" wrapText="1"/>
    </xf>
    <xf numFmtId="43" fontId="16" fillId="2" borderId="3" xfId="544" applyFont="1" applyFill="1" applyBorder="1" applyAlignment="1" applyProtection="1">
      <alignment horizontal="right" vertical="center" wrapText="1"/>
    </xf>
    <xf numFmtId="3" fontId="172" fillId="4" borderId="3" xfId="544" applyNumberFormat="1" applyFont="1" applyFill="1" applyBorder="1" applyAlignment="1" applyProtection="1">
      <alignment vertical="center" wrapText="1"/>
    </xf>
    <xf numFmtId="3" fontId="172" fillId="4" borderId="3" xfId="543" applyNumberFormat="1" applyFont="1" applyFill="1" applyBorder="1" applyAlignment="1" applyProtection="1">
      <alignment horizontal="right" vertical="center" wrapText="1"/>
    </xf>
    <xf numFmtId="168" fontId="172" fillId="4" borderId="3" xfId="544" applyNumberFormat="1" applyFont="1" applyFill="1" applyBorder="1" applyAlignment="1" applyProtection="1">
      <alignment vertical="center" wrapText="1"/>
    </xf>
    <xf numFmtId="3" fontId="181" fillId="4" borderId="3" xfId="543" applyNumberFormat="1" applyFont="1" applyFill="1" applyBorder="1"/>
    <xf numFmtId="0" fontId="178" fillId="4" borderId="3" xfId="543" applyFont="1" applyFill="1" applyBorder="1" applyAlignment="1" applyProtection="1">
      <alignment horizontal="center" vertical="center" wrapText="1"/>
    </xf>
    <xf numFmtId="0" fontId="178" fillId="4" borderId="3" xfId="543" applyFont="1" applyFill="1" applyBorder="1" applyAlignment="1" applyProtection="1">
      <alignment vertical="center" wrapText="1"/>
    </xf>
    <xf numFmtId="3" fontId="174" fillId="4" borderId="33" xfId="543" applyNumberFormat="1" applyFont="1" applyFill="1" applyBorder="1" applyAlignment="1" applyProtection="1">
      <alignment horizontal="right" vertical="center" wrapText="1"/>
    </xf>
    <xf numFmtId="43" fontId="186" fillId="4" borderId="0" xfId="544" applyFont="1" applyFill="1" applyAlignment="1" applyProtection="1">
      <alignment vertical="center" wrapText="1"/>
    </xf>
    <xf numFmtId="3" fontId="186" fillId="4" borderId="0" xfId="543" applyNumberFormat="1" applyFont="1" applyFill="1" applyAlignment="1" applyProtection="1">
      <alignment vertical="center" wrapText="1"/>
    </xf>
    <xf numFmtId="168" fontId="187" fillId="4" borderId="0" xfId="544" applyNumberFormat="1" applyFont="1" applyFill="1" applyAlignment="1" applyProtection="1">
      <alignment horizontal="center" vertical="center" wrapText="1"/>
    </xf>
    <xf numFmtId="43" fontId="187" fillId="4" borderId="0" xfId="544" applyFont="1" applyFill="1" applyAlignment="1" applyProtection="1">
      <alignment horizontal="center" vertical="center" wrapText="1"/>
    </xf>
    <xf numFmtId="3" fontId="187" fillId="4" borderId="0" xfId="543" applyNumberFormat="1" applyFont="1" applyFill="1" applyAlignment="1" applyProtection="1">
      <alignment horizontal="center" vertical="center" wrapText="1"/>
    </xf>
    <xf numFmtId="3" fontId="188" fillId="4" borderId="0" xfId="543" applyNumberFormat="1" applyFont="1" applyFill="1" applyAlignment="1" applyProtection="1">
      <alignment vertical="center" wrapText="1"/>
    </xf>
    <xf numFmtId="168" fontId="186" fillId="4" borderId="0" xfId="544" applyNumberFormat="1" applyFont="1" applyFill="1" applyAlignment="1" applyProtection="1">
      <alignment vertical="center" wrapText="1"/>
    </xf>
    <xf numFmtId="0" fontId="62" fillId="4" borderId="0" xfId="543" applyFont="1" applyFill="1" applyAlignment="1" applyProtection="1">
      <alignment vertical="center" wrapText="1"/>
    </xf>
    <xf numFmtId="0" fontId="60" fillId="4" borderId="0" xfId="0" applyFont="1" applyFill="1" applyAlignment="1">
      <alignment vertical="center"/>
    </xf>
    <xf numFmtId="0" fontId="189" fillId="4" borderId="0" xfId="0" applyFont="1" applyFill="1" applyAlignment="1">
      <alignment vertical="center"/>
    </xf>
    <xf numFmtId="3" fontId="189" fillId="4" borderId="0" xfId="0" applyNumberFormat="1" applyFont="1" applyFill="1" applyAlignment="1">
      <alignment vertical="center"/>
    </xf>
    <xf numFmtId="4" fontId="10" fillId="4" borderId="0" xfId="0" applyNumberFormat="1" applyFont="1" applyFill="1" applyAlignment="1">
      <alignment vertical="center"/>
    </xf>
    <xf numFmtId="4" fontId="11" fillId="57" borderId="0" xfId="0" applyNumberFormat="1" applyFont="1" applyFill="1" applyAlignment="1">
      <alignment vertical="center"/>
    </xf>
    <xf numFmtId="4" fontId="11" fillId="2" borderId="0" xfId="0" applyNumberFormat="1" applyFont="1" applyFill="1" applyAlignment="1">
      <alignment vertical="center"/>
    </xf>
    <xf numFmtId="4" fontId="12" fillId="4" borderId="0" xfId="0" applyNumberFormat="1" applyFont="1" applyFill="1" applyAlignment="1">
      <alignment vertical="center"/>
    </xf>
    <xf numFmtId="4" fontId="11" fillId="4" borderId="0" xfId="0" applyNumberFormat="1" applyFont="1" applyFill="1" applyAlignment="1">
      <alignment vertical="center"/>
    </xf>
    <xf numFmtId="4" fontId="18" fillId="4" borderId="0" xfId="0" applyNumberFormat="1" applyFont="1" applyFill="1" applyAlignment="1">
      <alignment vertical="center"/>
    </xf>
    <xf numFmtId="4" fontId="52" fillId="4" borderId="0" xfId="0" applyNumberFormat="1" applyFont="1" applyFill="1" applyAlignment="1">
      <alignment vertical="center"/>
    </xf>
    <xf numFmtId="4" fontId="55" fillId="4" borderId="0" xfId="0" applyNumberFormat="1" applyFont="1" applyFill="1" applyAlignment="1">
      <alignment vertical="center"/>
    </xf>
    <xf numFmtId="4" fontId="54" fillId="4" borderId="0" xfId="0" applyNumberFormat="1" applyFont="1" applyFill="1" applyAlignment="1">
      <alignment vertical="center"/>
    </xf>
    <xf numFmtId="4" fontId="19" fillId="4" borderId="0" xfId="0" applyNumberFormat="1" applyFont="1" applyFill="1" applyAlignment="1">
      <alignment vertical="center"/>
    </xf>
    <xf numFmtId="4" fontId="14" fillId="4" borderId="0" xfId="0" applyNumberFormat="1" applyFont="1" applyFill="1" applyAlignment="1">
      <alignment vertical="center"/>
    </xf>
    <xf numFmtId="4" fontId="60" fillId="4" borderId="0" xfId="0" applyNumberFormat="1" applyFont="1" applyFill="1" applyAlignment="1">
      <alignment vertical="center"/>
    </xf>
    <xf numFmtId="3" fontId="190" fillId="4" borderId="0" xfId="0" applyNumberFormat="1" applyFont="1" applyFill="1" applyAlignment="1">
      <alignment vertical="center"/>
    </xf>
    <xf numFmtId="4" fontId="189" fillId="4" borderId="0" xfId="0" applyNumberFormat="1" applyFont="1" applyFill="1" applyAlignment="1">
      <alignment vertical="center"/>
    </xf>
    <xf numFmtId="0" fontId="190" fillId="4" borderId="0" xfId="0" applyFont="1" applyFill="1" applyAlignment="1">
      <alignment vertical="center"/>
    </xf>
    <xf numFmtId="0" fontId="56" fillId="4" borderId="0" xfId="0" applyFont="1" applyFill="1" applyAlignment="1">
      <alignment vertical="center"/>
    </xf>
    <xf numFmtId="4" fontId="56" fillId="4" borderId="0" xfId="0" applyNumberFormat="1" applyFont="1" applyFill="1" applyAlignment="1">
      <alignment vertical="center"/>
    </xf>
    <xf numFmtId="3" fontId="191" fillId="0" borderId="3" xfId="0" applyNumberFormat="1" applyFont="1" applyBorder="1" applyAlignment="1">
      <alignment vertical="center" wrapText="1"/>
    </xf>
    <xf numFmtId="4" fontId="182" fillId="4" borderId="3" xfId="543" applyNumberFormat="1" applyFont="1" applyFill="1" applyBorder="1" applyAlignment="1" applyProtection="1">
      <alignment horizontal="right" vertical="center" wrapText="1"/>
    </xf>
    <xf numFmtId="43" fontId="10" fillId="4" borderId="0" xfId="5" applyFont="1" applyFill="1" applyAlignment="1">
      <alignment vertical="center"/>
    </xf>
    <xf numFmtId="43" fontId="10" fillId="4" borderId="0" xfId="0" applyNumberFormat="1" applyFont="1" applyFill="1" applyAlignment="1">
      <alignment vertical="center"/>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53" fillId="58" borderId="3" xfId="543" applyFont="1" applyFill="1" applyBorder="1" applyAlignment="1" applyProtection="1">
      <alignment horizontal="center" vertical="center" wrapText="1"/>
    </xf>
    <xf numFmtId="0" fontId="53" fillId="58" borderId="3" xfId="543" applyFont="1" applyFill="1" applyBorder="1" applyAlignment="1" applyProtection="1">
      <alignment vertical="center" wrapText="1"/>
    </xf>
    <xf numFmtId="0" fontId="53" fillId="4" borderId="3" xfId="543" applyFont="1" applyFill="1" applyBorder="1" applyAlignment="1" applyProtection="1">
      <alignment vertical="center" wrapText="1"/>
    </xf>
    <xf numFmtId="0" fontId="62" fillId="4" borderId="3" xfId="543" applyFont="1" applyFill="1" applyBorder="1" applyAlignment="1" applyProtection="1">
      <alignment vertical="center" wrapText="1"/>
    </xf>
    <xf numFmtId="0" fontId="62" fillId="4" borderId="3" xfId="543" applyFont="1" applyFill="1" applyBorder="1" applyAlignment="1" applyProtection="1">
      <alignment horizontal="center" vertical="center" wrapText="1"/>
    </xf>
    <xf numFmtId="0" fontId="53" fillId="59" borderId="3" xfId="543" applyFont="1" applyFill="1" applyBorder="1" applyAlignment="1" applyProtection="1">
      <alignment horizontal="center" vertical="center" wrapText="1"/>
    </xf>
    <xf numFmtId="0" fontId="53" fillId="59" borderId="3" xfId="543" applyFont="1" applyFill="1" applyBorder="1" applyAlignment="1" applyProtection="1">
      <alignment vertical="center" wrapText="1"/>
    </xf>
    <xf numFmtId="0" fontId="53" fillId="51" borderId="3" xfId="543" applyFont="1" applyFill="1" applyBorder="1" applyAlignment="1" applyProtection="1">
      <alignment horizontal="center" vertical="center" wrapText="1"/>
    </xf>
    <xf numFmtId="0" fontId="53" fillId="51" borderId="3" xfId="543" applyFont="1" applyFill="1" applyBorder="1" applyAlignment="1" applyProtection="1">
      <alignment vertical="center" wrapText="1"/>
    </xf>
    <xf numFmtId="0" fontId="62" fillId="4" borderId="3" xfId="0" applyFont="1" applyFill="1" applyBorder="1" applyAlignment="1">
      <alignment horizontal="center" vertical="center" wrapText="1"/>
    </xf>
    <xf numFmtId="0" fontId="53" fillId="51" borderId="3" xfId="0" applyFont="1" applyFill="1" applyBorder="1" applyAlignment="1">
      <alignment horizontal="center" vertical="center" wrapText="1"/>
    </xf>
    <xf numFmtId="0" fontId="53" fillId="59" borderId="3" xfId="0" applyFont="1" applyFill="1" applyBorder="1" applyAlignment="1">
      <alignment horizontal="center" vertical="center" wrapText="1"/>
    </xf>
    <xf numFmtId="0" fontId="53" fillId="59" borderId="3" xfId="0" applyFont="1" applyFill="1" applyBorder="1" applyAlignment="1">
      <alignment horizontal="left" vertical="center" wrapText="1"/>
    </xf>
    <xf numFmtId="0" fontId="53" fillId="4" borderId="3" xfId="0" applyFont="1" applyFill="1" applyBorder="1" applyAlignment="1">
      <alignment horizontal="center" vertical="center" wrapText="1"/>
    </xf>
    <xf numFmtId="0" fontId="53" fillId="4" borderId="3" xfId="0" applyFont="1" applyFill="1" applyBorder="1" applyAlignment="1">
      <alignment horizontal="left" vertical="center" wrapText="1"/>
    </xf>
    <xf numFmtId="0" fontId="53" fillId="59" borderId="3" xfId="0" applyFont="1" applyFill="1" applyBorder="1" applyAlignment="1">
      <alignment vertical="center"/>
    </xf>
    <xf numFmtId="0" fontId="192" fillId="4" borderId="3" xfId="0" applyFont="1" applyFill="1" applyBorder="1" applyAlignment="1">
      <alignment vertical="center" wrapText="1"/>
    </xf>
    <xf numFmtId="0" fontId="62" fillId="4" borderId="3" xfId="0" applyFont="1" applyFill="1" applyBorder="1" applyAlignment="1">
      <alignment vertical="center" wrapText="1"/>
    </xf>
    <xf numFmtId="0" fontId="53" fillId="2" borderId="3" xfId="0" applyFont="1" applyFill="1" applyBorder="1" applyAlignment="1">
      <alignment horizontal="center" vertical="center" wrapText="1"/>
    </xf>
    <xf numFmtId="0" fontId="53" fillId="2" borderId="3" xfId="0" applyFont="1" applyFill="1" applyBorder="1" applyAlignment="1">
      <alignment horizontal="center" vertical="center"/>
    </xf>
    <xf numFmtId="0" fontId="53" fillId="2" borderId="3" xfId="0" applyFont="1" applyFill="1" applyBorder="1" applyAlignment="1">
      <alignment vertical="center" wrapText="1"/>
    </xf>
    <xf numFmtId="0" fontId="53" fillId="4" borderId="3" xfId="0" applyFont="1" applyFill="1" applyBorder="1" applyAlignment="1">
      <alignment horizontal="center" vertical="center"/>
    </xf>
    <xf numFmtId="0" fontId="53" fillId="4" borderId="3" xfId="0" applyFont="1" applyFill="1" applyBorder="1" applyAlignment="1">
      <alignment vertical="center" wrapText="1"/>
    </xf>
    <xf numFmtId="0" fontId="62" fillId="4" borderId="3" xfId="0" quotePrefix="1" applyFont="1" applyFill="1" applyBorder="1" applyAlignment="1">
      <alignment vertical="center" wrapText="1"/>
    </xf>
    <xf numFmtId="0" fontId="53" fillId="54" borderId="3" xfId="0" applyFont="1" applyFill="1" applyBorder="1" applyAlignment="1">
      <alignment horizontal="center" vertical="center"/>
    </xf>
    <xf numFmtId="0" fontId="53" fillId="54" borderId="3" xfId="0" applyFont="1" applyFill="1" applyBorder="1" applyAlignment="1">
      <alignment vertical="center" wrapText="1"/>
    </xf>
    <xf numFmtId="0" fontId="53" fillId="5" borderId="3" xfId="0" applyFont="1" applyFill="1" applyBorder="1" applyAlignment="1">
      <alignment horizontal="center" vertical="center"/>
    </xf>
    <xf numFmtId="0" fontId="53" fillId="5" borderId="3" xfId="0" applyFont="1" applyFill="1" applyBorder="1" applyAlignment="1">
      <alignment vertical="center" wrapText="1"/>
    </xf>
    <xf numFmtId="0" fontId="192" fillId="4" borderId="3" xfId="0" applyFont="1" applyFill="1" applyBorder="1" applyAlignment="1">
      <alignment horizontal="center" vertical="center"/>
    </xf>
    <xf numFmtId="0" fontId="192" fillId="4" borderId="3" xfId="0" applyFont="1" applyFill="1" applyBorder="1" applyAlignment="1">
      <alignment horizontal="left" vertical="center" wrapText="1"/>
    </xf>
    <xf numFmtId="0" fontId="62" fillId="4" borderId="3" xfId="0" applyFont="1" applyFill="1" applyBorder="1" applyAlignment="1">
      <alignment horizontal="center" vertical="center"/>
    </xf>
    <xf numFmtId="0" fontId="62" fillId="4" borderId="3" xfId="0" quotePrefix="1" applyFont="1" applyFill="1" applyBorder="1" applyAlignment="1">
      <alignment horizontal="left" vertical="center" wrapText="1"/>
    </xf>
    <xf numFmtId="0" fontId="180" fillId="4" borderId="3" xfId="0" applyFont="1" applyFill="1" applyBorder="1" applyAlignment="1">
      <alignment horizontal="left" vertical="center" wrapText="1"/>
    </xf>
    <xf numFmtId="0" fontId="53" fillId="4" borderId="3" xfId="0" quotePrefix="1" applyFont="1" applyFill="1" applyBorder="1" applyAlignment="1">
      <alignment horizontal="left" vertical="center" wrapText="1"/>
    </xf>
    <xf numFmtId="3" fontId="62" fillId="4" borderId="3" xfId="0" quotePrefix="1" applyNumberFormat="1" applyFont="1" applyFill="1" applyBorder="1" applyAlignment="1">
      <alignment vertical="center" wrapText="1"/>
    </xf>
    <xf numFmtId="3" fontId="180" fillId="4" borderId="3" xfId="3" applyNumberFormat="1" applyFont="1" applyFill="1" applyBorder="1" applyAlignment="1">
      <alignment vertical="center" wrapText="1"/>
    </xf>
    <xf numFmtId="0" fontId="180" fillId="4" borderId="3" xfId="0" applyFont="1" applyFill="1" applyBorder="1" applyAlignment="1">
      <alignment horizontal="center" vertical="center"/>
    </xf>
    <xf numFmtId="3" fontId="53" fillId="4" borderId="3" xfId="0" quotePrefix="1" applyNumberFormat="1" applyFont="1" applyFill="1" applyBorder="1" applyAlignment="1">
      <alignment vertical="center" wrapText="1"/>
    </xf>
    <xf numFmtId="3" fontId="192" fillId="4" borderId="3" xfId="0" applyNumberFormat="1" applyFont="1" applyFill="1" applyBorder="1" applyAlignment="1">
      <alignment vertical="center" wrapText="1"/>
    </xf>
    <xf numFmtId="0" fontId="192" fillId="4" borderId="3" xfId="0" quotePrefix="1" applyFont="1" applyFill="1" applyBorder="1" applyAlignment="1">
      <alignment horizontal="left" vertical="center" wrapText="1"/>
    </xf>
    <xf numFmtId="0" fontId="62" fillId="4" borderId="3" xfId="6" quotePrefix="1" applyFont="1" applyFill="1" applyBorder="1" applyAlignment="1" applyProtection="1">
      <alignment horizontal="left" vertical="center" wrapText="1"/>
      <protection hidden="1"/>
    </xf>
    <xf numFmtId="0" fontId="180" fillId="4" borderId="3" xfId="0" quotePrefix="1" applyFont="1" applyFill="1" applyBorder="1" applyAlignment="1">
      <alignment horizontal="left" vertical="center" wrapText="1"/>
    </xf>
    <xf numFmtId="0" fontId="62" fillId="4" borderId="3" xfId="0" applyFont="1" applyFill="1" applyBorder="1" applyAlignment="1">
      <alignment horizontal="left" vertical="center" wrapText="1"/>
    </xf>
    <xf numFmtId="3" fontId="62" fillId="4" borderId="3" xfId="0" applyNumberFormat="1" applyFont="1" applyFill="1" applyBorder="1" applyAlignment="1">
      <alignment vertical="center" wrapText="1"/>
    </xf>
    <xf numFmtId="0" fontId="62" fillId="4" borderId="3" xfId="6" applyFont="1" applyFill="1" applyBorder="1" applyAlignment="1" applyProtection="1">
      <alignment horizontal="left" vertical="center" wrapText="1"/>
      <protection hidden="1"/>
    </xf>
    <xf numFmtId="3" fontId="180" fillId="4" borderId="3" xfId="0" applyNumberFormat="1" applyFont="1" applyFill="1" applyBorder="1" applyAlignment="1">
      <alignment vertical="center" wrapText="1"/>
    </xf>
    <xf numFmtId="3" fontId="180" fillId="4" borderId="3" xfId="0" quotePrefix="1" applyNumberFormat="1" applyFont="1" applyFill="1" applyBorder="1" applyAlignment="1">
      <alignment vertical="center" wrapText="1"/>
    </xf>
    <xf numFmtId="0" fontId="53" fillId="4" borderId="3" xfId="0" quotePrefix="1" applyFont="1" applyFill="1" applyBorder="1" applyAlignment="1">
      <alignment vertical="center" wrapText="1"/>
    </xf>
    <xf numFmtId="0" fontId="180" fillId="4" borderId="3" xfId="0" applyFont="1" applyFill="1" applyBorder="1" applyAlignment="1">
      <alignment vertical="center" wrapText="1"/>
    </xf>
    <xf numFmtId="0" fontId="180" fillId="4" borderId="3" xfId="0" quotePrefix="1" applyFont="1" applyFill="1" applyBorder="1" applyAlignment="1">
      <alignment vertical="center" wrapText="1"/>
    </xf>
    <xf numFmtId="0" fontId="192" fillId="4" borderId="3" xfId="0" quotePrefix="1" applyFont="1" applyFill="1" applyBorder="1" applyAlignment="1">
      <alignment vertical="center" wrapText="1"/>
    </xf>
    <xf numFmtId="0" fontId="53" fillId="53" borderId="3" xfId="0" applyFont="1" applyFill="1" applyBorder="1" applyAlignment="1">
      <alignment horizontal="center" vertical="center"/>
    </xf>
    <xf numFmtId="0" fontId="53" fillId="53" borderId="3" xfId="4" applyFont="1" applyFill="1" applyBorder="1" applyAlignment="1">
      <alignment horizontal="left" vertical="center" wrapText="1"/>
    </xf>
    <xf numFmtId="0" fontId="53" fillId="51" borderId="3" xfId="0" applyFont="1" applyFill="1" applyBorder="1" applyAlignment="1">
      <alignment horizontal="center" vertical="center"/>
    </xf>
    <xf numFmtId="0" fontId="53" fillId="51" borderId="3" xfId="0" applyFont="1" applyFill="1" applyBorder="1" applyAlignment="1">
      <alignment vertical="center" wrapText="1"/>
    </xf>
    <xf numFmtId="2" fontId="62" fillId="4" borderId="3" xfId="0" quotePrefix="1" applyNumberFormat="1" applyFont="1" applyFill="1" applyBorder="1" applyAlignment="1">
      <alignment vertical="center" wrapText="1"/>
    </xf>
    <xf numFmtId="2" fontId="180" fillId="4" borderId="3" xfId="0" quotePrefix="1" applyNumberFormat="1" applyFont="1" applyFill="1" applyBorder="1" applyAlignment="1">
      <alignment vertical="center" wrapText="1"/>
    </xf>
    <xf numFmtId="2" fontId="192" fillId="4" borderId="3" xfId="0" quotePrefix="1" applyNumberFormat="1" applyFont="1" applyFill="1" applyBorder="1" applyAlignment="1">
      <alignment vertical="center" wrapText="1"/>
    </xf>
    <xf numFmtId="0" fontId="192" fillId="4" borderId="3" xfId="0" quotePrefix="1" applyFont="1" applyFill="1" applyBorder="1" applyAlignment="1">
      <alignment horizontal="center" vertical="center"/>
    </xf>
    <xf numFmtId="0" fontId="53" fillId="55" borderId="3" xfId="0" applyFont="1" applyFill="1" applyBorder="1" applyAlignment="1">
      <alignment horizontal="center" vertical="center"/>
    </xf>
    <xf numFmtId="0" fontId="53" fillId="55" borderId="3" xfId="4" applyFont="1" applyFill="1" applyBorder="1" applyAlignment="1">
      <alignment horizontal="left" vertical="center" wrapText="1"/>
    </xf>
    <xf numFmtId="0" fontId="53" fillId="2" borderId="3" xfId="0" quotePrefix="1" applyFont="1" applyFill="1" applyBorder="1" applyAlignment="1">
      <alignment vertical="center" wrapText="1"/>
    </xf>
    <xf numFmtId="3" fontId="30" fillId="4" borderId="3" xfId="0" applyNumberFormat="1" applyFont="1" applyFill="1" applyBorder="1" applyAlignment="1">
      <alignment horizontal="center" vertical="center" wrapText="1"/>
    </xf>
    <xf numFmtId="3" fontId="172" fillId="58" borderId="3" xfId="0" applyNumberFormat="1" applyFont="1" applyFill="1" applyBorder="1" applyAlignment="1">
      <alignment horizontal="center" vertical="center" wrapText="1"/>
    </xf>
    <xf numFmtId="3" fontId="172" fillId="59" borderId="3" xfId="0" applyNumberFormat="1" applyFont="1" applyFill="1" applyBorder="1" applyAlignment="1">
      <alignment horizontal="center" vertical="center" wrapText="1"/>
    </xf>
    <xf numFmtId="3" fontId="172" fillId="51" borderId="3" xfId="0" applyNumberFormat="1" applyFont="1" applyFill="1" applyBorder="1" applyAlignment="1">
      <alignment horizontal="center" vertical="center" wrapText="1"/>
    </xf>
    <xf numFmtId="3" fontId="172" fillId="4" borderId="3" xfId="0" applyNumberFormat="1" applyFont="1" applyFill="1" applyBorder="1" applyAlignment="1">
      <alignment horizontal="right" vertical="center"/>
    </xf>
    <xf numFmtId="3" fontId="35" fillId="4" borderId="3" xfId="0" applyNumberFormat="1" applyFont="1" applyFill="1" applyBorder="1" applyAlignment="1">
      <alignment horizontal="right" vertical="center"/>
    </xf>
    <xf numFmtId="3" fontId="30" fillId="4" borderId="3" xfId="0" applyNumberFormat="1" applyFont="1" applyFill="1" applyBorder="1" applyAlignment="1">
      <alignment horizontal="right" vertical="center"/>
    </xf>
    <xf numFmtId="3" fontId="43" fillId="4" borderId="3" xfId="0" applyNumberFormat="1" applyFont="1" applyFill="1" applyBorder="1" applyAlignment="1">
      <alignment horizontal="right" vertical="center" wrapText="1"/>
    </xf>
    <xf numFmtId="3" fontId="30" fillId="4" borderId="3" xfId="0" applyNumberFormat="1" applyFont="1" applyFill="1" applyBorder="1" applyAlignment="1">
      <alignment horizontal="right" vertical="center" wrapText="1"/>
    </xf>
    <xf numFmtId="3" fontId="172" fillId="4" borderId="3" xfId="0" applyNumberFormat="1" applyFont="1" applyFill="1" applyBorder="1" applyAlignment="1">
      <alignment horizontal="right" vertical="center" wrapText="1"/>
    </xf>
    <xf numFmtId="3" fontId="43" fillId="4" borderId="3" xfId="0" applyNumberFormat="1" applyFont="1" applyFill="1" applyBorder="1" applyAlignment="1">
      <alignment horizontal="right" vertical="center"/>
    </xf>
    <xf numFmtId="3" fontId="172" fillId="58" borderId="3" xfId="0" applyNumberFormat="1" applyFont="1" applyFill="1" applyBorder="1" applyAlignment="1">
      <alignment horizontal="right" vertical="center" wrapText="1"/>
    </xf>
    <xf numFmtId="3" fontId="172" fillId="59" borderId="3" xfId="0" applyNumberFormat="1" applyFont="1" applyFill="1" applyBorder="1" applyAlignment="1">
      <alignment horizontal="right" vertical="center" wrapText="1"/>
    </xf>
    <xf numFmtId="3" fontId="172" fillId="51" borderId="3" xfId="0" applyNumberFormat="1" applyFont="1" applyFill="1" applyBorder="1" applyAlignment="1">
      <alignment horizontal="right" vertical="center" wrapText="1"/>
    </xf>
    <xf numFmtId="3" fontId="172" fillId="2" borderId="3" xfId="0" applyNumberFormat="1" applyFont="1" applyFill="1" applyBorder="1" applyAlignment="1">
      <alignment horizontal="right" vertical="center" wrapText="1"/>
    </xf>
    <xf numFmtId="3" fontId="172" fillId="2" borderId="3" xfId="0" applyNumberFormat="1" applyFont="1" applyFill="1" applyBorder="1" applyAlignment="1">
      <alignment horizontal="right" vertical="center"/>
    </xf>
    <xf numFmtId="3" fontId="172" fillId="2" borderId="3" xfId="1" applyNumberFormat="1" applyFont="1" applyFill="1" applyBorder="1" applyAlignment="1">
      <alignment horizontal="right" vertical="center"/>
    </xf>
    <xf numFmtId="3" fontId="172" fillId="54" borderId="3" xfId="1" applyNumberFormat="1" applyFont="1" applyFill="1" applyBorder="1" applyAlignment="1">
      <alignment horizontal="right" vertical="center"/>
    </xf>
    <xf numFmtId="3" fontId="172" fillId="5" borderId="3" xfId="1" applyNumberFormat="1" applyFont="1" applyFill="1" applyBorder="1" applyAlignment="1">
      <alignment horizontal="right" vertical="center"/>
    </xf>
    <xf numFmtId="3" fontId="35" fillId="4" borderId="3" xfId="1" applyNumberFormat="1" applyFont="1" applyFill="1" applyBorder="1" applyAlignment="1" applyProtection="1">
      <alignment horizontal="right" vertical="center"/>
      <protection locked="0"/>
    </xf>
    <xf numFmtId="3" fontId="172" fillId="4" borderId="3" xfId="1" applyNumberFormat="1" applyFont="1" applyFill="1" applyBorder="1" applyAlignment="1" applyProtection="1">
      <alignment horizontal="right" vertical="center"/>
      <protection locked="0"/>
    </xf>
    <xf numFmtId="3" fontId="30" fillId="4" borderId="3" xfId="1" applyNumberFormat="1" applyFont="1" applyFill="1" applyBorder="1" applyAlignment="1" applyProtection="1">
      <alignment horizontal="right" vertical="center"/>
      <protection locked="0"/>
    </xf>
    <xf numFmtId="3" fontId="30" fillId="4" borderId="3" xfId="3" applyNumberFormat="1" applyFont="1" applyFill="1" applyBorder="1" applyAlignment="1">
      <alignment horizontal="right" vertical="center"/>
    </xf>
    <xf numFmtId="3" fontId="43" fillId="4" borderId="3" xfId="1" applyNumberFormat="1" applyFont="1" applyFill="1" applyBorder="1" applyAlignment="1" applyProtection="1">
      <alignment horizontal="right" vertical="center"/>
      <protection locked="0"/>
    </xf>
    <xf numFmtId="3" fontId="35" fillId="4" borderId="3" xfId="3" applyNumberFormat="1" applyFont="1" applyFill="1" applyBorder="1" applyAlignment="1">
      <alignment horizontal="right" vertical="center"/>
    </xf>
    <xf numFmtId="3" fontId="172" fillId="4" borderId="3" xfId="3" applyNumberFormat="1" applyFont="1" applyFill="1" applyBorder="1" applyAlignment="1">
      <alignment horizontal="right" vertical="center"/>
    </xf>
    <xf numFmtId="3" fontId="172" fillId="4" borderId="3" xfId="1" applyNumberFormat="1" applyFont="1" applyFill="1" applyBorder="1" applyAlignment="1">
      <alignment horizontal="right" vertical="center"/>
    </xf>
    <xf numFmtId="3" fontId="43" fillId="4" borderId="3" xfId="3" applyNumberFormat="1" applyFont="1" applyFill="1" applyBorder="1" applyAlignment="1">
      <alignment horizontal="right" vertical="center"/>
    </xf>
    <xf numFmtId="3" fontId="30" fillId="4" borderId="3" xfId="1" applyNumberFormat="1" applyFont="1" applyFill="1" applyBorder="1" applyAlignment="1">
      <alignment horizontal="right" vertical="center"/>
    </xf>
    <xf numFmtId="3" fontId="172" fillId="53" borderId="3" xfId="3" applyNumberFormat="1" applyFont="1" applyFill="1" applyBorder="1" applyAlignment="1">
      <alignment horizontal="right" vertical="center"/>
    </xf>
    <xf numFmtId="3" fontId="172" fillId="51" borderId="3" xfId="3" applyNumberFormat="1" applyFont="1" applyFill="1" applyBorder="1" applyAlignment="1">
      <alignment horizontal="right" vertical="center"/>
    </xf>
    <xf numFmtId="3" fontId="172" fillId="5" borderId="3" xfId="3" applyNumberFormat="1" applyFont="1" applyFill="1" applyBorder="1" applyAlignment="1">
      <alignment horizontal="right" vertical="center"/>
    </xf>
    <xf numFmtId="3" fontId="172" fillId="55" borderId="3" xfId="3" applyNumberFormat="1" applyFont="1" applyFill="1" applyBorder="1" applyAlignment="1">
      <alignment horizontal="right" vertical="center"/>
    </xf>
    <xf numFmtId="3" fontId="172" fillId="2" borderId="3" xfId="3" applyNumberFormat="1" applyFont="1" applyFill="1" applyBorder="1" applyAlignment="1">
      <alignment horizontal="right" vertical="center"/>
    </xf>
    <xf numFmtId="0" fontId="53" fillId="60" borderId="3" xfId="543" applyFont="1" applyFill="1" applyBorder="1" applyAlignment="1" applyProtection="1">
      <alignment horizontal="center" vertical="center" wrapText="1"/>
    </xf>
    <xf numFmtId="0" fontId="53" fillId="60" borderId="3" xfId="543" applyFont="1" applyFill="1" applyBorder="1" applyAlignment="1" applyProtection="1">
      <alignment vertical="center" wrapText="1"/>
    </xf>
    <xf numFmtId="3" fontId="53" fillId="60" borderId="3" xfId="0" applyNumberFormat="1" applyFont="1" applyFill="1" applyBorder="1" applyAlignment="1">
      <alignment horizontal="center" vertical="center" wrapText="1"/>
    </xf>
    <xf numFmtId="3" fontId="10" fillId="4" borderId="0" xfId="0" applyNumberFormat="1" applyFont="1" applyFill="1" applyAlignment="1">
      <alignment horizontal="right" vertical="center"/>
    </xf>
    <xf numFmtId="0" fontId="16" fillId="4" borderId="10" xfId="543" applyFont="1" applyFill="1" applyBorder="1" applyAlignment="1" applyProtection="1">
      <alignment vertical="center" wrapText="1"/>
    </xf>
    <xf numFmtId="3" fontId="191" fillId="0" borderId="10" xfId="0" applyNumberFormat="1" applyFont="1" applyBorder="1" applyAlignment="1">
      <alignment vertical="center" wrapText="1"/>
    </xf>
    <xf numFmtId="0" fontId="172" fillId="56" borderId="3" xfId="0" applyFont="1" applyFill="1" applyBorder="1" applyAlignment="1">
      <alignment horizontal="center" vertical="center" wrapText="1"/>
    </xf>
    <xf numFmtId="0" fontId="172" fillId="56" borderId="3" xfId="0" applyFont="1" applyFill="1" applyBorder="1" applyAlignment="1">
      <alignment horizontal="center" vertical="center"/>
    </xf>
    <xf numFmtId="0" fontId="11" fillId="56" borderId="3" xfId="0" applyFont="1" applyFill="1" applyBorder="1" applyAlignment="1">
      <alignment horizontal="center" vertical="center" wrapText="1"/>
    </xf>
    <xf numFmtId="3" fontId="11" fillId="56" borderId="3" xfId="0" applyNumberFormat="1" applyFont="1" applyFill="1" applyBorder="1" applyAlignment="1">
      <alignment horizontal="center" vertical="center"/>
    </xf>
    <xf numFmtId="3" fontId="172" fillId="56" borderId="3" xfId="0" applyNumberFormat="1" applyFont="1" applyFill="1" applyBorder="1" applyAlignment="1">
      <alignment horizontal="center" vertical="center" wrapText="1"/>
    </xf>
    <xf numFmtId="4" fontId="172" fillId="56" borderId="3" xfId="344" applyNumberFormat="1" applyFont="1" applyFill="1" applyBorder="1" applyAlignment="1">
      <alignment horizontal="center" vertical="center" wrapText="1"/>
    </xf>
    <xf numFmtId="0" fontId="11" fillId="60" borderId="3" xfId="0" applyFont="1" applyFill="1" applyBorder="1" applyAlignment="1">
      <alignment horizontal="center" vertical="center" wrapText="1"/>
    </xf>
    <xf numFmtId="3" fontId="11" fillId="60" borderId="3" xfId="0" applyNumberFormat="1" applyFont="1" applyFill="1" applyBorder="1" applyAlignment="1">
      <alignment horizontal="center" vertical="center" wrapText="1"/>
    </xf>
    <xf numFmtId="3" fontId="11" fillId="60" borderId="3" xfId="0" applyNumberFormat="1" applyFont="1" applyFill="1" applyBorder="1" applyAlignment="1">
      <alignment horizontal="right" vertical="center"/>
    </xf>
    <xf numFmtId="4" fontId="11" fillId="60" borderId="3" xfId="0" applyNumberFormat="1" applyFont="1" applyFill="1" applyBorder="1" applyAlignment="1">
      <alignment horizontal="center" vertical="center"/>
    </xf>
    <xf numFmtId="4" fontId="11" fillId="4" borderId="3"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xf>
    <xf numFmtId="4" fontId="183" fillId="4" borderId="3" xfId="0" applyNumberFormat="1" applyFont="1" applyFill="1" applyBorder="1" applyAlignment="1">
      <alignment horizontal="center" vertical="center"/>
    </xf>
    <xf numFmtId="0" fontId="10" fillId="4" borderId="3" xfId="0" quotePrefix="1" applyFont="1" applyFill="1" applyBorder="1" applyAlignment="1">
      <alignment horizontal="center" vertical="center" wrapText="1"/>
    </xf>
    <xf numFmtId="3" fontId="10" fillId="4" borderId="3" xfId="0" quotePrefix="1"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xf>
    <xf numFmtId="0" fontId="11" fillId="50" borderId="3" xfId="0" applyFont="1" applyFill="1" applyBorder="1" applyAlignment="1">
      <alignment horizontal="center" vertical="center" wrapText="1"/>
    </xf>
    <xf numFmtId="3" fontId="11" fillId="50" borderId="3" xfId="0" applyNumberFormat="1" applyFont="1" applyFill="1" applyBorder="1" applyAlignment="1">
      <alignment horizontal="center" vertical="center" wrapText="1"/>
    </xf>
    <xf numFmtId="4" fontId="11" fillId="50" borderId="3" xfId="0" applyNumberFormat="1" applyFont="1" applyFill="1" applyBorder="1" applyAlignment="1">
      <alignment horizontal="center" vertical="center"/>
    </xf>
    <xf numFmtId="0" fontId="18" fillId="51" borderId="3" xfId="0" applyFont="1" applyFill="1" applyBorder="1" applyAlignment="1">
      <alignment horizontal="center" vertical="center" wrapText="1"/>
    </xf>
    <xf numFmtId="3" fontId="18" fillId="51" borderId="3" xfId="0" applyNumberFormat="1" applyFont="1" applyFill="1" applyBorder="1" applyAlignment="1">
      <alignment horizontal="center" vertical="center" wrapText="1"/>
    </xf>
    <xf numFmtId="4" fontId="11" fillId="51" borderId="3" xfId="0" applyNumberFormat="1" applyFont="1" applyFill="1" applyBorder="1" applyAlignment="1">
      <alignment horizontal="center" vertical="center"/>
    </xf>
    <xf numFmtId="0" fontId="11" fillId="52" borderId="3" xfId="0" applyFont="1" applyFill="1" applyBorder="1" applyAlignment="1">
      <alignment horizontal="center" vertical="center" wrapText="1"/>
    </xf>
    <xf numFmtId="3" fontId="11" fillId="52" borderId="3" xfId="0" applyNumberFormat="1" applyFont="1" applyFill="1" applyBorder="1" applyAlignment="1">
      <alignment horizontal="center" vertical="center" wrapText="1"/>
    </xf>
    <xf numFmtId="4" fontId="11" fillId="52" borderId="3" xfId="0" applyNumberFormat="1" applyFont="1" applyFill="1" applyBorder="1" applyAlignment="1">
      <alignment horizontal="center" vertical="center"/>
    </xf>
    <xf numFmtId="3" fontId="12" fillId="4" borderId="3" xfId="3"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1" fillId="4" borderId="3" xfId="0" quotePrefix="1" applyFont="1" applyFill="1" applyBorder="1" applyAlignment="1">
      <alignment horizontal="center" vertical="center" wrapText="1"/>
    </xf>
    <xf numFmtId="3" fontId="11" fillId="4" borderId="3" xfId="0" quotePrefix="1" applyNumberFormat="1" applyFont="1" applyFill="1" applyBorder="1" applyAlignment="1">
      <alignment horizontal="center" vertical="center" wrapText="1"/>
    </xf>
    <xf numFmtId="3" fontId="12" fillId="4" borderId="3" xfId="0" quotePrefix="1" applyNumberFormat="1" applyFont="1" applyFill="1" applyBorder="1" applyAlignment="1">
      <alignment horizontal="center" vertical="center" wrapText="1"/>
    </xf>
    <xf numFmtId="3" fontId="14" fillId="4" borderId="3" xfId="0" quotePrefix="1"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3" fontId="18" fillId="4" borderId="3"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3" fontId="18" fillId="5" borderId="3" xfId="0" applyNumberFormat="1" applyFont="1" applyFill="1" applyBorder="1" applyAlignment="1">
      <alignment horizontal="center" vertical="center" wrapText="1"/>
    </xf>
    <xf numFmtId="0" fontId="18" fillId="54" borderId="3" xfId="4" applyFont="1" applyFill="1" applyBorder="1" applyAlignment="1">
      <alignment horizontal="center" vertical="center" wrapText="1"/>
    </xf>
    <xf numFmtId="3" fontId="18" fillId="54" borderId="3" xfId="4" applyNumberFormat="1" applyFont="1" applyFill="1" applyBorder="1" applyAlignment="1">
      <alignment horizontal="center" vertical="center" wrapText="1"/>
    </xf>
    <xf numFmtId="0" fontId="11" fillId="55" borderId="3" xfId="0" applyFont="1" applyFill="1" applyBorder="1" applyAlignment="1">
      <alignment horizontal="center" vertical="center" wrapText="1"/>
    </xf>
    <xf numFmtId="3" fontId="11" fillId="55" borderId="3" xfId="0" applyNumberFormat="1"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2" fontId="10" fillId="4" borderId="3" xfId="0" quotePrefix="1" applyNumberFormat="1" applyFont="1" applyFill="1" applyBorder="1" applyAlignment="1">
      <alignment horizontal="center" vertical="center" wrapText="1"/>
    </xf>
    <xf numFmtId="0" fontId="10" fillId="53" borderId="3" xfId="0" quotePrefix="1" applyFont="1" applyFill="1" applyBorder="1" applyAlignment="1">
      <alignment horizontal="center" vertical="center" wrapText="1"/>
    </xf>
    <xf numFmtId="3" fontId="10" fillId="53" borderId="3" xfId="0" quotePrefix="1"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xf>
    <xf numFmtId="3" fontId="172" fillId="4" borderId="3" xfId="0" applyNumberFormat="1" applyFont="1" applyFill="1" applyBorder="1" applyAlignment="1">
      <alignment horizontal="center" vertical="center" wrapText="1"/>
    </xf>
    <xf numFmtId="3" fontId="172" fillId="2" borderId="3" xfId="0" applyNumberFormat="1" applyFont="1" applyFill="1" applyBorder="1" applyAlignment="1">
      <alignment horizontal="center" vertical="center" wrapText="1"/>
    </xf>
    <xf numFmtId="3" fontId="11" fillId="60" borderId="3" xfId="0" applyNumberFormat="1" applyFont="1" applyFill="1" applyBorder="1" applyAlignment="1">
      <alignment horizontal="center" vertical="center"/>
    </xf>
    <xf numFmtId="3" fontId="172" fillId="4" borderId="3" xfId="0" applyNumberFormat="1" applyFont="1" applyFill="1" applyBorder="1" applyAlignment="1">
      <alignment horizontal="center" vertical="center"/>
    </xf>
    <xf numFmtId="3" fontId="172" fillId="2" borderId="3" xfId="1" applyNumberFormat="1" applyFont="1" applyFill="1" applyBorder="1" applyAlignment="1">
      <alignment horizontal="center" vertical="center"/>
    </xf>
    <xf numFmtId="3" fontId="172" fillId="54" borderId="3" xfId="1" applyNumberFormat="1" applyFont="1" applyFill="1" applyBorder="1" applyAlignment="1">
      <alignment horizontal="center" vertical="center"/>
    </xf>
    <xf numFmtId="3" fontId="172" fillId="5" borderId="3" xfId="1" applyNumberFormat="1" applyFont="1" applyFill="1" applyBorder="1" applyAlignment="1">
      <alignment horizontal="center" vertical="center"/>
    </xf>
    <xf numFmtId="3" fontId="35" fillId="4" borderId="3" xfId="1" applyNumberFormat="1" applyFont="1" applyFill="1" applyBorder="1" applyAlignment="1" applyProtection="1">
      <alignment horizontal="center" vertical="center"/>
      <protection locked="0"/>
    </xf>
    <xf numFmtId="3" fontId="172" fillId="4" borderId="3" xfId="1" applyNumberFormat="1" applyFont="1" applyFill="1" applyBorder="1" applyAlignment="1" applyProtection="1">
      <alignment horizontal="center" vertical="center"/>
      <protection locked="0"/>
    </xf>
    <xf numFmtId="3" fontId="30" fillId="4" borderId="3" xfId="1" applyNumberFormat="1" applyFont="1" applyFill="1" applyBorder="1" applyAlignment="1" applyProtection="1">
      <alignment horizontal="center" vertical="center"/>
      <protection locked="0"/>
    </xf>
    <xf numFmtId="3" fontId="30" fillId="4" borderId="3" xfId="0" applyNumberFormat="1" applyFont="1" applyFill="1" applyBorder="1" applyAlignment="1">
      <alignment horizontal="center" vertical="center"/>
    </xf>
    <xf numFmtId="3" fontId="30" fillId="4" borderId="3" xfId="3"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35" fillId="4" borderId="3" xfId="3" applyNumberFormat="1" applyFont="1" applyFill="1" applyBorder="1" applyAlignment="1">
      <alignment horizontal="center" vertical="center"/>
    </xf>
    <xf numFmtId="3" fontId="172" fillId="4" borderId="3" xfId="3" applyNumberFormat="1" applyFont="1" applyFill="1" applyBorder="1" applyAlignment="1">
      <alignment horizontal="center" vertical="center"/>
    </xf>
    <xf numFmtId="3" fontId="43" fillId="4" borderId="3" xfId="1" applyNumberFormat="1" applyFont="1" applyFill="1" applyBorder="1" applyAlignment="1" applyProtection="1">
      <alignment horizontal="center" vertical="center"/>
      <protection locked="0"/>
    </xf>
    <xf numFmtId="3" fontId="43" fillId="4" borderId="3" xfId="0" applyNumberFormat="1" applyFont="1" applyFill="1" applyBorder="1" applyAlignment="1">
      <alignment horizontal="center" vertical="center"/>
    </xf>
    <xf numFmtId="3" fontId="172" fillId="4" borderId="3" xfId="1" applyNumberFormat="1" applyFont="1" applyFill="1" applyBorder="1" applyAlignment="1">
      <alignment horizontal="center" vertical="center"/>
    </xf>
    <xf numFmtId="3" fontId="172" fillId="53" borderId="3" xfId="3" applyNumberFormat="1" applyFont="1" applyFill="1" applyBorder="1" applyAlignment="1">
      <alignment horizontal="center" vertical="center"/>
    </xf>
    <xf numFmtId="3" fontId="172" fillId="51" borderId="3" xfId="3" applyNumberFormat="1" applyFont="1" applyFill="1" applyBorder="1" applyAlignment="1">
      <alignment horizontal="center" vertical="center"/>
    </xf>
    <xf numFmtId="3" fontId="172" fillId="5" borderId="3" xfId="3" applyNumberFormat="1" applyFont="1" applyFill="1" applyBorder="1" applyAlignment="1">
      <alignment horizontal="center" vertical="center"/>
    </xf>
    <xf numFmtId="3" fontId="172" fillId="55" borderId="3" xfId="3" applyNumberFormat="1" applyFont="1" applyFill="1" applyBorder="1" applyAlignment="1">
      <alignment horizontal="center" vertical="center"/>
    </xf>
    <xf numFmtId="3" fontId="172" fillId="2" borderId="3" xfId="3" applyNumberFormat="1" applyFont="1" applyFill="1" applyBorder="1" applyAlignment="1">
      <alignment horizontal="center" vertical="center"/>
    </xf>
    <xf numFmtId="168" fontId="54" fillId="4" borderId="0" xfId="0" applyNumberFormat="1" applyFont="1" applyFill="1" applyAlignment="1">
      <alignment vertical="center"/>
    </xf>
    <xf numFmtId="3" fontId="191" fillId="0" borderId="34" xfId="0" applyNumberFormat="1" applyFont="1" applyBorder="1" applyAlignment="1">
      <alignment vertical="center" wrapText="1"/>
    </xf>
    <xf numFmtId="0" fontId="16" fillId="4" borderId="0" xfId="543" applyFont="1" applyFill="1" applyAlignment="1" applyProtection="1">
      <alignment horizontal="center" vertical="center" wrapText="1"/>
    </xf>
    <xf numFmtId="0" fontId="174" fillId="4" borderId="0" xfId="543" applyFont="1" applyFill="1" applyAlignment="1" applyProtection="1">
      <alignment vertical="center" wrapText="1"/>
    </xf>
    <xf numFmtId="4" fontId="62" fillId="4" borderId="0" xfId="543" applyNumberFormat="1" applyFont="1" applyFill="1" applyAlignment="1" applyProtection="1">
      <alignment vertical="center" wrapText="1"/>
    </xf>
    <xf numFmtId="43" fontId="62" fillId="4" borderId="0" xfId="129" applyFont="1" applyFill="1" applyAlignment="1" applyProtection="1">
      <alignment vertical="center" wrapText="1"/>
    </xf>
    <xf numFmtId="43" fontId="62" fillId="4" borderId="0" xfId="543" applyNumberFormat="1" applyFont="1" applyFill="1" applyAlignment="1" applyProtection="1">
      <alignment vertical="center" wrapText="1"/>
    </xf>
    <xf numFmtId="0" fontId="181" fillId="0" borderId="33" xfId="0" applyFont="1" applyBorder="1" applyAlignment="1">
      <alignment horizontal="center" vertical="center" wrapText="1"/>
    </xf>
    <xf numFmtId="3" fontId="186" fillId="4" borderId="0" xfId="543" applyNumberFormat="1" applyFont="1" applyFill="1" applyAlignment="1" applyProtection="1">
      <alignment horizontal="center" vertical="center" wrapText="1"/>
    </xf>
    <xf numFmtId="3" fontId="193" fillId="4" borderId="0" xfId="543" applyNumberFormat="1" applyFont="1" applyFill="1" applyAlignment="1" applyProtection="1">
      <alignment vertical="center" wrapText="1"/>
    </xf>
    <xf numFmtId="0" fontId="54" fillId="4" borderId="3" xfId="0" quotePrefix="1" applyFont="1" applyFill="1" applyBorder="1" applyAlignment="1">
      <alignment horizontal="left" vertical="center" wrapText="1"/>
    </xf>
    <xf numFmtId="3" fontId="194" fillId="0" borderId="34" xfId="0" applyNumberFormat="1" applyFont="1" applyBorder="1" applyAlignment="1">
      <alignment vertical="center" wrapText="1"/>
    </xf>
    <xf numFmtId="3" fontId="43" fillId="2" borderId="3" xfId="0" applyNumberFormat="1" applyFont="1" applyFill="1" applyBorder="1" applyAlignment="1">
      <alignment horizontal="right" vertical="center"/>
    </xf>
    <xf numFmtId="3" fontId="30" fillId="2" borderId="3" xfId="0" applyNumberFormat="1" applyFont="1" applyFill="1" applyBorder="1" applyAlignment="1">
      <alignment horizontal="right" vertical="center"/>
    </xf>
    <xf numFmtId="3" fontId="195" fillId="0" borderId="34" xfId="0" applyNumberFormat="1" applyFont="1" applyBorder="1" applyAlignment="1">
      <alignment vertical="center" wrapText="1"/>
    </xf>
    <xf numFmtId="3" fontId="30" fillId="2" borderId="3" xfId="0" applyNumberFormat="1" applyFont="1" applyFill="1" applyBorder="1" applyAlignment="1">
      <alignment horizontal="right" vertical="center" wrapText="1"/>
    </xf>
    <xf numFmtId="3" fontId="43" fillId="2" borderId="3" xfId="1" applyNumberFormat="1" applyFont="1" applyFill="1" applyBorder="1" applyAlignment="1" applyProtection="1">
      <alignment horizontal="right" vertical="center"/>
      <protection locked="0"/>
    </xf>
    <xf numFmtId="3" fontId="30" fillId="2" borderId="3" xfId="1" applyNumberFormat="1" applyFont="1" applyFill="1" applyBorder="1" applyAlignment="1" applyProtection="1">
      <alignment horizontal="right" vertical="center"/>
      <protection locked="0"/>
    </xf>
    <xf numFmtId="3" fontId="43" fillId="2" borderId="3" xfId="0" applyNumberFormat="1" applyFont="1" applyFill="1" applyBorder="1" applyAlignment="1">
      <alignment horizontal="right" vertical="center" wrapText="1"/>
    </xf>
    <xf numFmtId="3" fontId="196" fillId="0" borderId="34" xfId="0" applyNumberFormat="1" applyFont="1" applyBorder="1" applyAlignment="1">
      <alignment vertical="center" wrapText="1"/>
    </xf>
    <xf numFmtId="3" fontId="43" fillId="2" borderId="3" xfId="3" applyNumberFormat="1" applyFont="1" applyFill="1" applyBorder="1" applyAlignment="1">
      <alignment horizontal="right" vertical="center"/>
    </xf>
    <xf numFmtId="3" fontId="30" fillId="4" borderId="3" xfId="674" applyNumberFormat="1" applyFont="1" applyFill="1" applyBorder="1" applyAlignment="1">
      <alignment horizontal="right" vertical="center"/>
    </xf>
    <xf numFmtId="3" fontId="30" fillId="2" borderId="3" xfId="3" applyNumberFormat="1" applyFont="1" applyFill="1" applyBorder="1" applyAlignment="1">
      <alignment horizontal="right" vertical="center"/>
    </xf>
    <xf numFmtId="0" fontId="197" fillId="4" borderId="3" xfId="0" applyFont="1" applyFill="1" applyBorder="1" applyAlignment="1">
      <alignment horizontal="center" vertical="center"/>
    </xf>
    <xf numFmtId="0" fontId="198" fillId="4" borderId="3" xfId="0" applyFont="1" applyFill="1" applyBorder="1" applyAlignment="1">
      <alignment horizontal="left" vertical="center" wrapText="1"/>
    </xf>
    <xf numFmtId="0" fontId="199" fillId="4" borderId="3" xfId="0" applyFont="1" applyFill="1" applyBorder="1" applyAlignment="1">
      <alignment horizontal="center" vertical="center"/>
    </xf>
    <xf numFmtId="3" fontId="199" fillId="4" borderId="3" xfId="0" applyNumberFormat="1" applyFont="1" applyFill="1" applyBorder="1" applyAlignment="1">
      <alignment horizontal="center" vertical="center"/>
    </xf>
    <xf numFmtId="3" fontId="200" fillId="4" borderId="3" xfId="0" applyNumberFormat="1" applyFont="1" applyFill="1" applyBorder="1" applyAlignment="1">
      <alignment horizontal="right" vertical="center" wrapText="1"/>
    </xf>
    <xf numFmtId="3" fontId="200" fillId="4" borderId="3" xfId="0" applyNumberFormat="1" applyFont="1" applyFill="1" applyBorder="1" applyAlignment="1">
      <alignment horizontal="center" vertical="center" wrapText="1"/>
    </xf>
    <xf numFmtId="4" fontId="199" fillId="4" borderId="3" xfId="0" applyNumberFormat="1" applyFont="1" applyFill="1" applyBorder="1" applyAlignment="1">
      <alignment horizontal="center" vertical="center"/>
    </xf>
    <xf numFmtId="0" fontId="199" fillId="4" borderId="0" xfId="0" applyFont="1" applyFill="1" applyAlignment="1">
      <alignment vertical="center"/>
    </xf>
    <xf numFmtId="4" fontId="199" fillId="4" borderId="0" xfId="0" applyNumberFormat="1" applyFont="1" applyFill="1" applyAlignment="1">
      <alignment vertical="center"/>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98" fillId="4" borderId="3" xfId="0" applyFont="1" applyFill="1" applyBorder="1" applyAlignment="1">
      <alignment horizontal="center" vertical="center"/>
    </xf>
    <xf numFmtId="0" fontId="178" fillId="4" borderId="3" xfId="0" applyFont="1" applyFill="1" applyBorder="1" applyAlignment="1">
      <alignment horizontal="left" vertical="center" wrapText="1"/>
    </xf>
    <xf numFmtId="3" fontId="201" fillId="2" borderId="2" xfId="0" applyNumberFormat="1" applyFont="1" applyFill="1" applyBorder="1" applyAlignment="1">
      <alignment horizontal="right" vertical="center" wrapText="1"/>
    </xf>
    <xf numFmtId="0" fontId="202" fillId="4" borderId="3" xfId="0" quotePrefix="1" applyFont="1" applyFill="1" applyBorder="1" applyAlignment="1">
      <alignment horizontal="left" vertical="center" wrapText="1"/>
    </xf>
    <xf numFmtId="3" fontId="203" fillId="2" borderId="2" xfId="1169" applyNumberFormat="1" applyFont="1" applyFill="1" applyBorder="1" applyAlignment="1">
      <alignment vertical="center"/>
    </xf>
    <xf numFmtId="0" fontId="14" fillId="4" borderId="3" xfId="0" quotePrefix="1" applyFont="1" applyFill="1" applyBorder="1" applyAlignment="1">
      <alignment horizontal="left" vertical="center" wrapText="1"/>
    </xf>
    <xf numFmtId="0" fontId="10" fillId="4" borderId="3" xfId="0" quotePrefix="1" applyFont="1" applyFill="1" applyBorder="1" applyAlignment="1">
      <alignment horizontal="left" vertical="center" wrapText="1"/>
    </xf>
    <xf numFmtId="3" fontId="174" fillId="0" borderId="3" xfId="1" applyNumberFormat="1" applyFont="1" applyFill="1" applyBorder="1" applyAlignment="1">
      <alignment vertical="center"/>
    </xf>
    <xf numFmtId="3" fontId="43" fillId="2" borderId="3" xfId="1" applyNumberFormat="1" applyFont="1" applyFill="1" applyBorder="1" applyAlignment="1">
      <alignment horizontal="right" vertical="center"/>
    </xf>
    <xf numFmtId="0" fontId="205" fillId="4" borderId="3" xfId="0" quotePrefix="1" applyFont="1" applyFill="1" applyBorder="1" applyAlignment="1">
      <alignment horizontal="left" vertical="center" wrapText="1"/>
    </xf>
    <xf numFmtId="3" fontId="206" fillId="2" borderId="3" xfId="0" applyNumberFormat="1" applyFont="1" applyFill="1" applyBorder="1" applyAlignment="1">
      <alignment horizontal="right" vertical="center"/>
    </xf>
    <xf numFmtId="3" fontId="207" fillId="0" borderId="3" xfId="1" applyNumberFormat="1" applyFont="1" applyFill="1" applyBorder="1" applyAlignment="1" applyProtection="1">
      <alignment vertical="center"/>
      <protection locked="0"/>
    </xf>
    <xf numFmtId="3" fontId="208" fillId="2" borderId="3" xfId="1" applyNumberFormat="1" applyFont="1" applyFill="1" applyBorder="1" applyAlignment="1" applyProtection="1">
      <alignment horizontal="right" vertical="center"/>
      <protection locked="0"/>
    </xf>
    <xf numFmtId="3" fontId="30" fillId="2" borderId="3" xfId="1" applyNumberFormat="1" applyFont="1" applyFill="1" applyBorder="1" applyAlignment="1">
      <alignment horizontal="right" vertical="center"/>
    </xf>
    <xf numFmtId="0" fontId="16" fillId="4" borderId="3" xfId="0" quotePrefix="1" applyFont="1" applyFill="1" applyBorder="1" applyAlignment="1">
      <alignment horizontal="left" vertical="center" wrapText="1"/>
    </xf>
    <xf numFmtId="3" fontId="209" fillId="4" borderId="3" xfId="1" applyNumberFormat="1" applyFont="1" applyFill="1" applyBorder="1" applyAlignment="1">
      <alignment horizontal="right" vertical="center"/>
    </xf>
    <xf numFmtId="3" fontId="209" fillId="4" borderId="3" xfId="3" applyNumberFormat="1" applyFont="1" applyFill="1" applyBorder="1" applyAlignment="1">
      <alignment horizontal="right" vertical="center"/>
    </xf>
    <xf numFmtId="3" fontId="178" fillId="4" borderId="3" xfId="0" applyNumberFormat="1" applyFont="1" applyFill="1" applyBorder="1" applyAlignment="1">
      <alignment vertical="center" wrapText="1"/>
    </xf>
    <xf numFmtId="0" fontId="12" fillId="4" borderId="2" xfId="6" quotePrefix="1" applyFont="1" applyFill="1" applyBorder="1" applyAlignment="1" applyProtection="1">
      <alignment horizontal="left" vertical="center" wrapText="1"/>
      <protection hidden="1"/>
    </xf>
    <xf numFmtId="0" fontId="10" fillId="4" borderId="3" xfId="1170" quotePrefix="1" applyFont="1" applyFill="1" applyBorder="1" applyAlignment="1">
      <alignment horizontal="left" vertical="center" wrapText="1"/>
    </xf>
    <xf numFmtId="3" fontId="209" fillId="4" borderId="3" xfId="1" applyNumberFormat="1" applyFont="1" applyFill="1" applyBorder="1" applyAlignment="1" applyProtection="1">
      <alignment horizontal="right" vertical="center"/>
      <protection locked="0"/>
    </xf>
    <xf numFmtId="0" fontId="210" fillId="4" borderId="2" xfId="6" quotePrefix="1" applyFont="1" applyFill="1" applyBorder="1" applyAlignment="1" applyProtection="1">
      <alignment horizontal="left" vertical="center" wrapText="1"/>
      <protection hidden="1"/>
    </xf>
    <xf numFmtId="0" fontId="199" fillId="4" borderId="3" xfId="0" applyFont="1" applyFill="1" applyBorder="1" applyAlignment="1">
      <alignment horizontal="center" vertical="center" wrapText="1"/>
    </xf>
    <xf numFmtId="3" fontId="199" fillId="4" borderId="3" xfId="0" applyNumberFormat="1" applyFont="1" applyFill="1" applyBorder="1" applyAlignment="1">
      <alignment horizontal="center" vertical="center" wrapText="1"/>
    </xf>
    <xf numFmtId="3" fontId="200" fillId="4" borderId="3" xfId="1" applyNumberFormat="1" applyFont="1" applyFill="1" applyBorder="1" applyAlignment="1" applyProtection="1">
      <alignment horizontal="right" vertical="center"/>
      <protection locked="0"/>
    </xf>
    <xf numFmtId="4" fontId="211" fillId="4" borderId="3" xfId="0" applyNumberFormat="1" applyFont="1" applyFill="1" applyBorder="1" applyAlignment="1">
      <alignment horizontal="center" vertical="center"/>
    </xf>
    <xf numFmtId="0" fontId="11" fillId="4" borderId="3" xfId="1171" applyFont="1" applyFill="1" applyBorder="1" applyAlignment="1">
      <alignment vertical="center" wrapText="1"/>
    </xf>
    <xf numFmtId="0" fontId="10" fillId="4" borderId="3" xfId="1171" quotePrefix="1" applyFont="1" applyFill="1" applyBorder="1" applyAlignment="1">
      <alignment horizontal="left" vertical="center" wrapText="1"/>
    </xf>
    <xf numFmtId="3" fontId="11" fillId="4" borderId="3" xfId="1171" applyNumberFormat="1" applyFont="1" applyFill="1" applyBorder="1" applyAlignment="1">
      <alignment vertical="center" wrapText="1"/>
    </xf>
    <xf numFmtId="3" fontId="54" fillId="4" borderId="2" xfId="3" applyNumberFormat="1" applyFont="1" applyFill="1" applyBorder="1" applyAlignment="1">
      <alignment vertical="center"/>
    </xf>
    <xf numFmtId="3" fontId="10" fillId="4" borderId="3" xfId="1172" applyNumberFormat="1" applyFont="1" applyFill="1" applyBorder="1" applyAlignment="1">
      <alignment vertical="center"/>
    </xf>
    <xf numFmtId="0" fontId="56" fillId="4" borderId="2" xfId="0" quotePrefix="1" applyFont="1" applyFill="1" applyBorder="1" applyAlignment="1">
      <alignment horizontal="left" vertical="center" wrapText="1"/>
    </xf>
    <xf numFmtId="0" fontId="55" fillId="4" borderId="2" xfId="0" quotePrefix="1" applyFont="1" applyFill="1" applyBorder="1" applyAlignment="1">
      <alignment horizontal="left" vertical="center" wrapText="1"/>
    </xf>
    <xf numFmtId="3" fontId="56" fillId="4" borderId="2" xfId="3" applyNumberFormat="1" applyFont="1" applyFill="1" applyBorder="1" applyAlignment="1">
      <alignment vertical="center"/>
    </xf>
    <xf numFmtId="3" fontId="55" fillId="4" borderId="2" xfId="3" applyNumberFormat="1" applyFont="1" applyFill="1" applyBorder="1" applyAlignment="1">
      <alignment vertical="center"/>
    </xf>
    <xf numFmtId="0" fontId="55" fillId="4" borderId="2" xfId="0" applyFont="1" applyFill="1" applyBorder="1" applyAlignment="1">
      <alignment vertical="center"/>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3" fontId="194" fillId="0" borderId="0" xfId="0" applyNumberFormat="1" applyFont="1" applyBorder="1" applyAlignment="1">
      <alignment vertical="center" wrapText="1"/>
    </xf>
    <xf numFmtId="3" fontId="196" fillId="0" borderId="0" xfId="0" applyNumberFormat="1" applyFont="1" applyBorder="1" applyAlignment="1">
      <alignment vertical="center" wrapText="1"/>
    </xf>
    <xf numFmtId="3" fontId="195" fillId="0" borderId="0" xfId="0" applyNumberFormat="1" applyFont="1" applyBorder="1" applyAlignment="1">
      <alignment vertical="center" wrapText="1"/>
    </xf>
    <xf numFmtId="3" fontId="212" fillId="0" borderId="34" xfId="0" applyNumberFormat="1" applyFont="1" applyBorder="1" applyAlignment="1">
      <alignment vertical="center" wrapText="1"/>
    </xf>
    <xf numFmtId="3" fontId="213" fillId="61" borderId="3" xfId="0" applyNumberFormat="1" applyFont="1" applyFill="1" applyBorder="1" applyAlignment="1">
      <alignment horizontal="right" vertical="center" wrapText="1"/>
    </xf>
    <xf numFmtId="3" fontId="54" fillId="4" borderId="3" xfId="0" applyNumberFormat="1" applyFont="1" applyFill="1" applyBorder="1" applyAlignment="1">
      <alignment vertical="center"/>
    </xf>
    <xf numFmtId="3" fontId="11" fillId="2" borderId="2" xfId="1" applyNumberFormat="1" applyFont="1" applyFill="1" applyBorder="1" applyAlignment="1">
      <alignment vertical="center"/>
    </xf>
    <xf numFmtId="3" fontId="213" fillId="61" borderId="3" xfId="0" applyNumberFormat="1" applyFont="1" applyFill="1" applyBorder="1" applyAlignment="1">
      <alignment vertical="center" wrapText="1"/>
    </xf>
    <xf numFmtId="3" fontId="30" fillId="4" borderId="3" xfId="1207" applyNumberFormat="1" applyFont="1" applyFill="1" applyBorder="1" applyAlignment="1">
      <alignment horizontal="right" vertical="center" wrapText="1"/>
    </xf>
    <xf numFmtId="4" fontId="178" fillId="4" borderId="3" xfId="543" applyNumberFormat="1" applyFont="1" applyFill="1" applyBorder="1" applyAlignment="1" applyProtection="1">
      <alignment horizontal="right" vertical="center" wrapText="1"/>
    </xf>
    <xf numFmtId="4" fontId="174" fillId="4" borderId="3" xfId="543" applyNumberFormat="1" applyFont="1" applyFill="1" applyBorder="1" applyAlignment="1" applyProtection="1">
      <alignment horizontal="right" vertical="center" wrapText="1"/>
    </xf>
    <xf numFmtId="4" fontId="16" fillId="4" borderId="3" xfId="543" applyNumberFormat="1" applyFont="1" applyFill="1" applyBorder="1" applyAlignment="1" applyProtection="1">
      <alignment horizontal="right" vertical="center" wrapText="1"/>
    </xf>
    <xf numFmtId="4" fontId="181" fillId="4" borderId="3" xfId="543" applyNumberFormat="1" applyFont="1" applyFill="1" applyBorder="1" applyAlignment="1" applyProtection="1">
      <alignment horizontal="right" vertical="center" wrapText="1"/>
    </xf>
    <xf numFmtId="4" fontId="182" fillId="4" borderId="3" xfId="543" applyNumberFormat="1" applyFont="1" applyFill="1" applyBorder="1" applyAlignment="1" applyProtection="1">
      <alignment horizontal="right" vertical="center" wrapText="1"/>
    </xf>
    <xf numFmtId="3" fontId="30" fillId="4" borderId="3" xfId="1189" applyNumberFormat="1" applyFont="1" applyFill="1" applyBorder="1" applyAlignment="1">
      <alignment horizontal="right" vertical="center" wrapText="1"/>
    </xf>
    <xf numFmtId="3" fontId="30" fillId="4" borderId="3" xfId="1" applyNumberFormat="1" applyFont="1" applyFill="1" applyBorder="1" applyAlignment="1" applyProtection="1">
      <alignment horizontal="right" vertical="center"/>
      <protection locked="0"/>
    </xf>
    <xf numFmtId="0" fontId="53" fillId="4" borderId="0" xfId="0" applyFont="1" applyFill="1" applyAlignment="1">
      <alignment horizontal="center" vertical="center"/>
    </xf>
    <xf numFmtId="0" fontId="12" fillId="4" borderId="0" xfId="0" applyFont="1" applyFill="1" applyAlignment="1">
      <alignment horizontal="center" vertical="center" wrapText="1"/>
    </xf>
    <xf numFmtId="0" fontId="11" fillId="4" borderId="0" xfId="0" applyFont="1" applyFill="1" applyAlignment="1">
      <alignment horizontal="center" vertical="center" wrapText="1"/>
    </xf>
    <xf numFmtId="3" fontId="172" fillId="4" borderId="3" xfId="0" applyNumberFormat="1" applyFont="1" applyFill="1" applyBorder="1" applyAlignment="1">
      <alignment horizontal="center" vertical="center" wrapText="1"/>
    </xf>
    <xf numFmtId="3" fontId="172" fillId="2" borderId="3" xfId="0" applyNumberFormat="1" applyFont="1" applyFill="1" applyBorder="1" applyAlignment="1">
      <alignment horizontal="center" vertical="center" wrapText="1"/>
    </xf>
    <xf numFmtId="4" fontId="172" fillId="4" borderId="3" xfId="344"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0" fontId="178" fillId="4" borderId="0" xfId="543" applyFont="1" applyFill="1" applyAlignment="1" applyProtection="1">
      <alignment horizontal="right" vertical="center" wrapText="1"/>
    </xf>
    <xf numFmtId="0" fontId="174" fillId="4" borderId="0" xfId="543" applyFont="1" applyFill="1" applyAlignment="1" applyProtection="1">
      <alignment vertical="center" wrapText="1"/>
    </xf>
    <xf numFmtId="0" fontId="174" fillId="4" borderId="0" xfId="543" applyFont="1" applyFill="1" applyAlignment="1" applyProtection="1">
      <alignment horizontal="right" vertical="center" wrapText="1"/>
    </xf>
    <xf numFmtId="0" fontId="174" fillId="4" borderId="0" xfId="543" applyFont="1" applyFill="1" applyAlignment="1" applyProtection="1">
      <alignment horizontal="center" vertical="center" wrapText="1"/>
    </xf>
    <xf numFmtId="0" fontId="36" fillId="4" borderId="0" xfId="543" applyFont="1" applyFill="1" applyAlignment="1" applyProtection="1">
      <alignment horizontal="right" vertical="center" wrapText="1"/>
    </xf>
    <xf numFmtId="4" fontId="178" fillId="4" borderId="0" xfId="543" applyNumberFormat="1" applyFont="1" applyFill="1" applyAlignment="1" applyProtection="1">
      <alignment horizontal="right" vertical="center" wrapText="1"/>
    </xf>
    <xf numFmtId="4" fontId="174" fillId="4" borderId="0" xfId="543" applyNumberFormat="1" applyFont="1" applyFill="1" applyAlignment="1" applyProtection="1">
      <alignment horizontal="right" vertical="center" wrapText="1"/>
    </xf>
    <xf numFmtId="0" fontId="16" fillId="4" borderId="0" xfId="543" applyFont="1" applyFill="1" applyAlignment="1" applyProtection="1">
      <alignment horizontal="center" vertical="center" wrapText="1"/>
    </xf>
    <xf numFmtId="0" fontId="10" fillId="4" borderId="0" xfId="543" applyFont="1" applyFill="1" applyAlignment="1" applyProtection="1">
      <alignment horizontal="justify" vertical="center" wrapText="1"/>
    </xf>
    <xf numFmtId="10" fontId="178" fillId="4" borderId="0" xfId="543" applyNumberFormat="1" applyFont="1" applyFill="1" applyAlignment="1" applyProtection="1">
      <alignment horizontal="right" vertical="center" wrapText="1"/>
    </xf>
    <xf numFmtId="0" fontId="28" fillId="0" borderId="11" xfId="0" applyFont="1" applyBorder="1" applyAlignment="1">
      <alignment horizontal="left" vertical="center" wrapText="1"/>
    </xf>
    <xf numFmtId="0" fontId="0" fillId="0" borderId="6" xfId="0" applyBorder="1" applyAlignment="1">
      <alignment horizontal="left" vertical="center" wrapText="1"/>
    </xf>
    <xf numFmtId="3" fontId="24" fillId="0" borderId="7"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10"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3" fontId="20" fillId="0" borderId="9" xfId="0" applyNumberFormat="1"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49" fontId="24" fillId="0" borderId="7"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cellXfs>
  <cellStyles count="1972">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16" xfId="546" xr:uid="{15A4561D-8699-40DB-BCBB-85E7622B745C}"/>
    <cellStyle name="Comma 16 2" xfId="1044" xr:uid="{00000000-0005-0000-0000-00004E020000}"/>
    <cellStyle name="Comma 17" xfId="579" xr:uid="{0501AA6E-1D92-41FC-A343-C5B4FB7F26DC}"/>
    <cellStyle name="Comma 17 2" xfId="1045" xr:uid="{00000000-0005-0000-0000-000050020000}"/>
    <cellStyle name="Comma 18" xfId="672" xr:uid="{9E59B218-CA54-40C6-B741-D09D3A85C430}"/>
    <cellStyle name="Comma 19" xfId="545" xr:uid="{D6541E40-54B8-4F6D-9AEF-BC6E2275C13C}"/>
    <cellStyle name="Comma 2" xfId="1" xr:uid="{00000000-0005-0000-0000-00007D000000}"/>
    <cellStyle name="Comma 2 2" xfId="131" xr:uid="{00000000-0005-0000-0000-00007E000000}"/>
    <cellStyle name="Comma 2 2 10" xfId="1175" xr:uid="{00000000-0005-0000-0000-00007D000000}"/>
    <cellStyle name="Comma 2 2 2" xfId="132" xr:uid="{00000000-0005-0000-0000-00007F000000}"/>
    <cellStyle name="Comma 2 2 2 2" xfId="447" xr:uid="{00000000-0005-0000-0000-000080000000}"/>
    <cellStyle name="Comma 2 2 2 2 2" xfId="512" xr:uid="{00000000-0005-0000-0000-000081000000}"/>
    <cellStyle name="Comma 2 2 2 2 2 2" xfId="642" xr:uid="{D0521945-9789-4D1A-827C-E8B89F6CF9A0}"/>
    <cellStyle name="Comma 2 2 2 2 2 2 2" xfId="888" xr:uid="{D0521945-9789-4D1A-827C-E8B89F6CF9A0}"/>
    <cellStyle name="Comma 2 2 2 2 2 2 2 2" xfId="1758" xr:uid="{00000000-0005-0000-0000-000089000000}"/>
    <cellStyle name="Comma 2 2 2 2 2 2 3" xfId="1139" xr:uid="{D0521945-9789-4D1A-827C-E8B89F6CF9A0}"/>
    <cellStyle name="Comma 2 2 2 2 2 2 3 2" xfId="1941" xr:uid="{00000000-0005-0000-0000-00008A000000}"/>
    <cellStyle name="Comma 2 2 2 2 2 2 4" xfId="1392" xr:uid="{00000000-0005-0000-0000-0000EB010000}"/>
    <cellStyle name="Comma 2 2 2 2 2 3" xfId="767" xr:uid="{00000000-0005-0000-0000-000081000000}"/>
    <cellStyle name="Comma 2 2 2 2 2 3 2" xfId="1573" xr:uid="{00000000-0005-0000-0000-0000EB010000}"/>
    <cellStyle name="Comma 2 2 2 2 2 4" xfId="1012" xr:uid="{00000000-0005-0000-0000-000083000000}"/>
    <cellStyle name="Comma 2 2 2 2 2 4 2" xfId="1820" xr:uid="{00000000-0005-0000-0000-00008C000000}"/>
    <cellStyle name="Comma 2 2 2 2 2 5" xfId="1269" xr:uid="{00000000-0005-0000-0000-000080000000}"/>
    <cellStyle name="Comma 2 2 2 2 3" xfId="582" xr:uid="{B4BB38D8-D4A1-4E96-B728-88D70D43A722}"/>
    <cellStyle name="Comma 2 2 2 2 3 2" xfId="828" xr:uid="{B4BB38D8-D4A1-4E96-B728-88D70D43A722}"/>
    <cellStyle name="Comma 2 2 2 2 3 2 2" xfId="1633" xr:uid="{00000000-0005-0000-0000-0000EB010000}"/>
    <cellStyle name="Comma 2 2 2 2 3 3" xfId="1079" xr:uid="{B4BB38D8-D4A1-4E96-B728-88D70D43A722}"/>
    <cellStyle name="Comma 2 2 2 2 3 3 2" xfId="1881" xr:uid="{00000000-0005-0000-0000-00008F000000}"/>
    <cellStyle name="Comma 2 2 2 2 3 4" xfId="1452" xr:uid="{00000000-0005-0000-0000-0000EB010000}"/>
    <cellStyle name="Comma 2 2 2 2 4" xfId="707" xr:uid="{00000000-0005-0000-0000-000080000000}"/>
    <cellStyle name="Comma 2 2 2 2 4 2" xfId="1694" xr:uid="{00000000-0005-0000-0000-0000EB010000}"/>
    <cellStyle name="Comma 2 2 2 2 4 3" xfId="1301" xr:uid="{00000000-0005-0000-0000-00007E000000}"/>
    <cellStyle name="Comma 2 2 2 2 5" xfId="952" xr:uid="{00000000-0005-0000-0000-000082000000}"/>
    <cellStyle name="Comma 2 2 2 2 5 2" xfId="1483" xr:uid="{00000000-0005-0000-0000-00007E000000}"/>
    <cellStyle name="Comma 2 2 2 2 6" xfId="1209" xr:uid="{00000000-0005-0000-0000-00007F000000}"/>
    <cellStyle name="Comma 2 2 2 3" xfId="479" xr:uid="{00000000-0005-0000-0000-000082000000}"/>
    <cellStyle name="Comma 2 2 2 3 2" xfId="612" xr:uid="{35F73855-283B-44FF-BE2F-FCB6F3199D17}"/>
    <cellStyle name="Comma 2 2 2 3 2 2" xfId="858" xr:uid="{35F73855-283B-44FF-BE2F-FCB6F3199D17}"/>
    <cellStyle name="Comma 2 2 2 3 2 2 2" xfId="1728" xr:uid="{00000000-0005-0000-0000-000094000000}"/>
    <cellStyle name="Comma 2 2 2 3 2 3" xfId="1109" xr:uid="{35F73855-283B-44FF-BE2F-FCB6F3199D17}"/>
    <cellStyle name="Comma 2 2 2 3 2 3 2" xfId="1911" xr:uid="{00000000-0005-0000-0000-000095000000}"/>
    <cellStyle name="Comma 2 2 2 3 2 4" xfId="1362" xr:uid="{00000000-0005-0000-0000-0000B1000000}"/>
    <cellStyle name="Comma 2 2 2 3 3" xfId="737" xr:uid="{00000000-0005-0000-0000-000082000000}"/>
    <cellStyle name="Comma 2 2 2 3 3 2" xfId="1543" xr:uid="{00000000-0005-0000-0000-0000B1000000}"/>
    <cellStyle name="Comma 2 2 2 3 4" xfId="982" xr:uid="{00000000-0005-0000-0000-000084000000}"/>
    <cellStyle name="Comma 2 2 2 3 4 2" xfId="1790" xr:uid="{00000000-0005-0000-0000-000097000000}"/>
    <cellStyle name="Comma 2 2 2 3 5" xfId="1239" xr:uid="{00000000-0005-0000-0000-000081000000}"/>
    <cellStyle name="Comma 2 2 2 4" xfId="549" xr:uid="{700F1B92-F635-44D0-B6B0-D7C169965057}"/>
    <cellStyle name="Comma 2 2 2 4 2" xfId="798" xr:uid="{700F1B92-F635-44D0-B6B0-D7C169965057}"/>
    <cellStyle name="Comma 2 2 2 4 2 2" xfId="1603" xr:uid="{00000000-0005-0000-0000-0000B1000000}"/>
    <cellStyle name="Comma 2 2 2 4 3" xfId="1049" xr:uid="{700F1B92-F635-44D0-B6B0-D7C169965057}"/>
    <cellStyle name="Comma 2 2 2 4 3 2" xfId="1851" xr:uid="{00000000-0005-0000-0000-00009A000000}"/>
    <cellStyle name="Comma 2 2 2 4 4" xfId="1422" xr:uid="{00000000-0005-0000-0000-0000B1000000}"/>
    <cellStyle name="Comma 2 2 2 5" xfId="677" xr:uid="{00000000-0005-0000-0000-00007F000000}"/>
    <cellStyle name="Comma 2 2 2 5 2" xfId="1664" xr:uid="{00000000-0005-0000-0000-0000B1000000}"/>
    <cellStyle name="Comma 2 2 2 5 3" xfId="1300" xr:uid="{00000000-0005-0000-0000-00007D000000}"/>
    <cellStyle name="Comma 2 2 2 6" xfId="920" xr:uid="{00000000-0005-0000-0000-000081000000}"/>
    <cellStyle name="Comma 2 2 2 6 2" xfId="1482" xr:uid="{00000000-0005-0000-0000-00007D000000}"/>
    <cellStyle name="Comma 2 2 2 7" xfId="1176" xr:uid="{00000000-0005-0000-0000-00007E000000}"/>
    <cellStyle name="Comma 2 2 3" xfId="133" xr:uid="{00000000-0005-0000-0000-000083000000}"/>
    <cellStyle name="Comma 2 2 3 2" xfId="448" xr:uid="{00000000-0005-0000-0000-000084000000}"/>
    <cellStyle name="Comma 2 2 3 2 2" xfId="513" xr:uid="{00000000-0005-0000-0000-000085000000}"/>
    <cellStyle name="Comma 2 2 3 2 2 2" xfId="643" xr:uid="{D369A227-CF5E-4B39-B6AA-52BF2923F7B4}"/>
    <cellStyle name="Comma 2 2 3 2 2 2 2" xfId="889" xr:uid="{D369A227-CF5E-4B39-B6AA-52BF2923F7B4}"/>
    <cellStyle name="Comma 2 2 3 2 2 2 2 2" xfId="1759" xr:uid="{00000000-0005-0000-0000-0000A1000000}"/>
    <cellStyle name="Comma 2 2 3 2 2 2 3" xfId="1140" xr:uid="{D369A227-CF5E-4B39-B6AA-52BF2923F7B4}"/>
    <cellStyle name="Comma 2 2 3 2 2 2 3 2" xfId="1942" xr:uid="{00000000-0005-0000-0000-0000A2000000}"/>
    <cellStyle name="Comma 2 2 3 2 2 2 4" xfId="1393" xr:uid="{00000000-0005-0000-0000-0000EC010000}"/>
    <cellStyle name="Comma 2 2 3 2 2 3" xfId="768" xr:uid="{00000000-0005-0000-0000-000085000000}"/>
    <cellStyle name="Comma 2 2 3 2 2 3 2" xfId="1574" xr:uid="{00000000-0005-0000-0000-0000EC010000}"/>
    <cellStyle name="Comma 2 2 3 2 2 4" xfId="1013" xr:uid="{00000000-0005-0000-0000-000087000000}"/>
    <cellStyle name="Comma 2 2 3 2 2 4 2" xfId="1821" xr:uid="{00000000-0005-0000-0000-0000A4000000}"/>
    <cellStyle name="Comma 2 2 3 2 2 5" xfId="1270" xr:uid="{00000000-0005-0000-0000-000084000000}"/>
    <cellStyle name="Comma 2 2 3 2 3" xfId="583" xr:uid="{7A3B5F7D-1BE8-4DBE-A3BD-EEE1108EC065}"/>
    <cellStyle name="Comma 2 2 3 2 3 2" xfId="829" xr:uid="{7A3B5F7D-1BE8-4DBE-A3BD-EEE1108EC065}"/>
    <cellStyle name="Comma 2 2 3 2 3 2 2" xfId="1634" xr:uid="{00000000-0005-0000-0000-0000EC010000}"/>
    <cellStyle name="Comma 2 2 3 2 3 3" xfId="1080" xr:uid="{7A3B5F7D-1BE8-4DBE-A3BD-EEE1108EC065}"/>
    <cellStyle name="Comma 2 2 3 2 3 3 2" xfId="1882" xr:uid="{00000000-0005-0000-0000-0000A7000000}"/>
    <cellStyle name="Comma 2 2 3 2 3 4" xfId="1453" xr:uid="{00000000-0005-0000-0000-0000EC010000}"/>
    <cellStyle name="Comma 2 2 3 2 4" xfId="708" xr:uid="{00000000-0005-0000-0000-000084000000}"/>
    <cellStyle name="Comma 2 2 3 2 4 2" xfId="1695" xr:uid="{00000000-0005-0000-0000-0000EC010000}"/>
    <cellStyle name="Comma 2 2 3 2 4 3" xfId="1303" xr:uid="{00000000-0005-0000-0000-000080000000}"/>
    <cellStyle name="Comma 2 2 3 2 5" xfId="953" xr:uid="{00000000-0005-0000-0000-000086000000}"/>
    <cellStyle name="Comma 2 2 3 2 5 2" xfId="1485" xr:uid="{00000000-0005-0000-0000-000080000000}"/>
    <cellStyle name="Comma 2 2 3 2 6" xfId="1210" xr:uid="{00000000-0005-0000-0000-000083000000}"/>
    <cellStyle name="Comma 2 2 3 3" xfId="480" xr:uid="{00000000-0005-0000-0000-000086000000}"/>
    <cellStyle name="Comma 2 2 3 3 2" xfId="613" xr:uid="{B6900736-7211-43FB-9EDC-928D86FA0F4B}"/>
    <cellStyle name="Comma 2 2 3 3 2 2" xfId="859" xr:uid="{B6900736-7211-43FB-9EDC-928D86FA0F4B}"/>
    <cellStyle name="Comma 2 2 3 3 2 2 2" xfId="1729" xr:uid="{00000000-0005-0000-0000-0000AC000000}"/>
    <cellStyle name="Comma 2 2 3 3 2 3" xfId="1110" xr:uid="{B6900736-7211-43FB-9EDC-928D86FA0F4B}"/>
    <cellStyle name="Comma 2 2 3 3 2 3 2" xfId="1912" xr:uid="{00000000-0005-0000-0000-0000AD000000}"/>
    <cellStyle name="Comma 2 2 3 3 2 4" xfId="1363" xr:uid="{00000000-0005-0000-0000-0000B2000000}"/>
    <cellStyle name="Comma 2 2 3 3 3" xfId="738" xr:uid="{00000000-0005-0000-0000-000086000000}"/>
    <cellStyle name="Comma 2 2 3 3 3 2" xfId="1544" xr:uid="{00000000-0005-0000-0000-0000B2000000}"/>
    <cellStyle name="Comma 2 2 3 3 4" xfId="983" xr:uid="{00000000-0005-0000-0000-000088000000}"/>
    <cellStyle name="Comma 2 2 3 3 4 2" xfId="1791" xr:uid="{00000000-0005-0000-0000-0000AF000000}"/>
    <cellStyle name="Comma 2 2 3 3 5" xfId="1240" xr:uid="{00000000-0005-0000-0000-000085000000}"/>
    <cellStyle name="Comma 2 2 3 4" xfId="550" xr:uid="{9F4E9C56-7FF1-4A39-A24B-89843685C6B4}"/>
    <cellStyle name="Comma 2 2 3 4 2" xfId="799" xr:uid="{9F4E9C56-7FF1-4A39-A24B-89843685C6B4}"/>
    <cellStyle name="Comma 2 2 3 4 2 2" xfId="1604" xr:uid="{00000000-0005-0000-0000-0000B2000000}"/>
    <cellStyle name="Comma 2 2 3 4 3" xfId="1050" xr:uid="{9F4E9C56-7FF1-4A39-A24B-89843685C6B4}"/>
    <cellStyle name="Comma 2 2 3 4 3 2" xfId="1852" xr:uid="{00000000-0005-0000-0000-0000B2000000}"/>
    <cellStyle name="Comma 2 2 3 4 4" xfId="1423" xr:uid="{00000000-0005-0000-0000-0000B2000000}"/>
    <cellStyle name="Comma 2 2 3 5" xfId="678" xr:uid="{00000000-0005-0000-0000-000083000000}"/>
    <cellStyle name="Comma 2 2 3 5 2" xfId="1665" xr:uid="{00000000-0005-0000-0000-0000B2000000}"/>
    <cellStyle name="Comma 2 2 3 5 3" xfId="1302" xr:uid="{00000000-0005-0000-0000-00007F000000}"/>
    <cellStyle name="Comma 2 2 3 6" xfId="921" xr:uid="{00000000-0005-0000-0000-000085000000}"/>
    <cellStyle name="Comma 2 2 3 6 2" xfId="1484" xr:uid="{00000000-0005-0000-0000-00007F000000}"/>
    <cellStyle name="Comma 2 2 3 7" xfId="1177" xr:uid="{00000000-0005-0000-0000-000082000000}"/>
    <cellStyle name="Comma 2 2 4" xfId="134" xr:uid="{00000000-0005-0000-0000-000087000000}"/>
    <cellStyle name="Comma 2 2 4 2" xfId="449" xr:uid="{00000000-0005-0000-0000-000088000000}"/>
    <cellStyle name="Comma 2 2 4 2 2" xfId="514" xr:uid="{00000000-0005-0000-0000-000089000000}"/>
    <cellStyle name="Comma 2 2 4 2 2 2" xfId="644" xr:uid="{04956B71-8490-4B02-8CFA-8EF3CB220D66}"/>
    <cellStyle name="Comma 2 2 4 2 2 2 2" xfId="890" xr:uid="{04956B71-8490-4B02-8CFA-8EF3CB220D66}"/>
    <cellStyle name="Comma 2 2 4 2 2 2 2 2" xfId="1760" xr:uid="{00000000-0005-0000-0000-0000B9000000}"/>
    <cellStyle name="Comma 2 2 4 2 2 2 3" xfId="1141" xr:uid="{04956B71-8490-4B02-8CFA-8EF3CB220D66}"/>
    <cellStyle name="Comma 2 2 4 2 2 2 3 2" xfId="1943" xr:uid="{00000000-0005-0000-0000-0000BA000000}"/>
    <cellStyle name="Comma 2 2 4 2 2 2 4" xfId="1394" xr:uid="{00000000-0005-0000-0000-0000ED010000}"/>
    <cellStyle name="Comma 2 2 4 2 2 3" xfId="769" xr:uid="{00000000-0005-0000-0000-000089000000}"/>
    <cellStyle name="Comma 2 2 4 2 2 3 2" xfId="1575" xr:uid="{00000000-0005-0000-0000-0000ED010000}"/>
    <cellStyle name="Comma 2 2 4 2 2 4" xfId="1014" xr:uid="{00000000-0005-0000-0000-00008B000000}"/>
    <cellStyle name="Comma 2 2 4 2 2 4 2" xfId="1822" xr:uid="{00000000-0005-0000-0000-0000BC000000}"/>
    <cellStyle name="Comma 2 2 4 2 2 5" xfId="1271" xr:uid="{00000000-0005-0000-0000-000088000000}"/>
    <cellStyle name="Comma 2 2 4 2 3" xfId="584" xr:uid="{CD91328C-A3CD-42C2-96AE-D5851F659670}"/>
    <cellStyle name="Comma 2 2 4 2 3 2" xfId="830" xr:uid="{CD91328C-A3CD-42C2-96AE-D5851F659670}"/>
    <cellStyle name="Comma 2 2 4 2 3 2 2" xfId="1635" xr:uid="{00000000-0005-0000-0000-0000ED010000}"/>
    <cellStyle name="Comma 2 2 4 2 3 3" xfId="1081" xr:uid="{CD91328C-A3CD-42C2-96AE-D5851F659670}"/>
    <cellStyle name="Comma 2 2 4 2 3 3 2" xfId="1883" xr:uid="{00000000-0005-0000-0000-0000BF000000}"/>
    <cellStyle name="Comma 2 2 4 2 3 4" xfId="1454" xr:uid="{00000000-0005-0000-0000-0000ED010000}"/>
    <cellStyle name="Comma 2 2 4 2 4" xfId="709" xr:uid="{00000000-0005-0000-0000-000088000000}"/>
    <cellStyle name="Comma 2 2 4 2 4 2" xfId="1696" xr:uid="{00000000-0005-0000-0000-0000ED010000}"/>
    <cellStyle name="Comma 2 2 4 2 4 3" xfId="1305" xr:uid="{00000000-0005-0000-0000-000082000000}"/>
    <cellStyle name="Comma 2 2 4 2 5" xfId="954" xr:uid="{00000000-0005-0000-0000-00008A000000}"/>
    <cellStyle name="Comma 2 2 4 2 5 2" xfId="1487" xr:uid="{00000000-0005-0000-0000-000082000000}"/>
    <cellStyle name="Comma 2 2 4 2 6" xfId="1211" xr:uid="{00000000-0005-0000-0000-000087000000}"/>
    <cellStyle name="Comma 2 2 4 3" xfId="481" xr:uid="{00000000-0005-0000-0000-00008A000000}"/>
    <cellStyle name="Comma 2 2 4 3 2" xfId="614" xr:uid="{86B66B8A-85E4-493D-BD99-9BFB3856EDB5}"/>
    <cellStyle name="Comma 2 2 4 3 2 2" xfId="860" xr:uid="{86B66B8A-85E4-493D-BD99-9BFB3856EDB5}"/>
    <cellStyle name="Comma 2 2 4 3 2 2 2" xfId="1730" xr:uid="{00000000-0005-0000-0000-0000C4000000}"/>
    <cellStyle name="Comma 2 2 4 3 2 3" xfId="1111" xr:uid="{86B66B8A-85E4-493D-BD99-9BFB3856EDB5}"/>
    <cellStyle name="Comma 2 2 4 3 2 3 2" xfId="1913" xr:uid="{00000000-0005-0000-0000-0000C5000000}"/>
    <cellStyle name="Comma 2 2 4 3 2 4" xfId="1364" xr:uid="{00000000-0005-0000-0000-0000B3000000}"/>
    <cellStyle name="Comma 2 2 4 3 3" xfId="739" xr:uid="{00000000-0005-0000-0000-00008A000000}"/>
    <cellStyle name="Comma 2 2 4 3 3 2" xfId="1545" xr:uid="{00000000-0005-0000-0000-0000B3000000}"/>
    <cellStyle name="Comma 2 2 4 3 4" xfId="984" xr:uid="{00000000-0005-0000-0000-00008C000000}"/>
    <cellStyle name="Comma 2 2 4 3 4 2" xfId="1792" xr:uid="{00000000-0005-0000-0000-0000C7000000}"/>
    <cellStyle name="Comma 2 2 4 3 5" xfId="1241" xr:uid="{00000000-0005-0000-0000-000089000000}"/>
    <cellStyle name="Comma 2 2 4 4" xfId="551" xr:uid="{895DA0C2-2296-4F87-A26B-0AFCE7B121C4}"/>
    <cellStyle name="Comma 2 2 4 4 2" xfId="800" xr:uid="{895DA0C2-2296-4F87-A26B-0AFCE7B121C4}"/>
    <cellStyle name="Comma 2 2 4 4 2 2" xfId="1605" xr:uid="{00000000-0005-0000-0000-0000B3000000}"/>
    <cellStyle name="Comma 2 2 4 4 3" xfId="1051" xr:uid="{895DA0C2-2296-4F87-A26B-0AFCE7B121C4}"/>
    <cellStyle name="Comma 2 2 4 4 3 2" xfId="1853" xr:uid="{00000000-0005-0000-0000-0000CA000000}"/>
    <cellStyle name="Comma 2 2 4 4 4" xfId="1424" xr:uid="{00000000-0005-0000-0000-0000B3000000}"/>
    <cellStyle name="Comma 2 2 4 5" xfId="679" xr:uid="{00000000-0005-0000-0000-000087000000}"/>
    <cellStyle name="Comma 2 2 4 5 2" xfId="1666" xr:uid="{00000000-0005-0000-0000-0000B3000000}"/>
    <cellStyle name="Comma 2 2 4 5 3" xfId="1304" xr:uid="{00000000-0005-0000-0000-000081000000}"/>
    <cellStyle name="Comma 2 2 4 6" xfId="922" xr:uid="{00000000-0005-0000-0000-000089000000}"/>
    <cellStyle name="Comma 2 2 4 6 2" xfId="1486" xr:uid="{00000000-0005-0000-0000-000081000000}"/>
    <cellStyle name="Comma 2 2 4 7" xfId="1178" xr:uid="{00000000-0005-0000-0000-000086000000}"/>
    <cellStyle name="Comma 2 2 5" xfId="446" xr:uid="{00000000-0005-0000-0000-00008B000000}"/>
    <cellStyle name="Comma 2 2 5 2" xfId="511" xr:uid="{00000000-0005-0000-0000-00008C000000}"/>
    <cellStyle name="Comma 2 2 5 2 2" xfId="641" xr:uid="{1B034698-1DF7-46D5-AF60-7E3B6B6E9E4B}"/>
    <cellStyle name="Comma 2 2 5 2 2 2" xfId="887" xr:uid="{1B034698-1DF7-46D5-AF60-7E3B6B6E9E4B}"/>
    <cellStyle name="Comma 2 2 5 2 2 2 2" xfId="1757" xr:uid="{00000000-0005-0000-0000-0000D0000000}"/>
    <cellStyle name="Comma 2 2 5 2 2 3" xfId="1138" xr:uid="{1B034698-1DF7-46D5-AF60-7E3B6B6E9E4B}"/>
    <cellStyle name="Comma 2 2 5 2 2 3 2" xfId="1940" xr:uid="{00000000-0005-0000-0000-0000D1000000}"/>
    <cellStyle name="Comma 2 2 5 2 2 4" xfId="1391" xr:uid="{00000000-0005-0000-0000-0000EA010000}"/>
    <cellStyle name="Comma 2 2 5 2 3" xfId="766" xr:uid="{00000000-0005-0000-0000-00008C000000}"/>
    <cellStyle name="Comma 2 2 5 2 3 2" xfId="1572" xr:uid="{00000000-0005-0000-0000-0000EA010000}"/>
    <cellStyle name="Comma 2 2 5 2 4" xfId="1011" xr:uid="{00000000-0005-0000-0000-00008E000000}"/>
    <cellStyle name="Comma 2 2 5 2 4 2" xfId="1819" xr:uid="{00000000-0005-0000-0000-0000D3000000}"/>
    <cellStyle name="Comma 2 2 5 2 5" xfId="1268" xr:uid="{00000000-0005-0000-0000-00008B000000}"/>
    <cellStyle name="Comma 2 2 5 3" xfId="581" xr:uid="{6C5BA968-D35F-471A-BF06-7A285511BBA5}"/>
    <cellStyle name="Comma 2 2 5 3 2" xfId="827" xr:uid="{6C5BA968-D35F-471A-BF06-7A285511BBA5}"/>
    <cellStyle name="Comma 2 2 5 3 2 2" xfId="1632" xr:uid="{00000000-0005-0000-0000-0000EA010000}"/>
    <cellStyle name="Comma 2 2 5 3 3" xfId="1078" xr:uid="{6C5BA968-D35F-471A-BF06-7A285511BBA5}"/>
    <cellStyle name="Comma 2 2 5 3 3 2" xfId="1880" xr:uid="{00000000-0005-0000-0000-0000D6000000}"/>
    <cellStyle name="Comma 2 2 5 3 4" xfId="1451" xr:uid="{00000000-0005-0000-0000-0000EA010000}"/>
    <cellStyle name="Comma 2 2 5 4" xfId="706" xr:uid="{00000000-0005-0000-0000-00008B000000}"/>
    <cellStyle name="Comma 2 2 5 4 2" xfId="1693" xr:uid="{00000000-0005-0000-0000-0000EA010000}"/>
    <cellStyle name="Comma 2 2 5 4 3" xfId="1306" xr:uid="{00000000-0005-0000-0000-000083000000}"/>
    <cellStyle name="Comma 2 2 5 5" xfId="951" xr:uid="{00000000-0005-0000-0000-00008D000000}"/>
    <cellStyle name="Comma 2 2 5 5 2" xfId="1488" xr:uid="{00000000-0005-0000-0000-000083000000}"/>
    <cellStyle name="Comma 2 2 5 6" xfId="1208" xr:uid="{00000000-0005-0000-0000-00008A000000}"/>
    <cellStyle name="Comma 2 2 6" xfId="478" xr:uid="{00000000-0005-0000-0000-00008D000000}"/>
    <cellStyle name="Comma 2 2 6 2" xfId="611" xr:uid="{D99EE5D9-D5ED-4B1A-A110-ACF13D5EDBA0}"/>
    <cellStyle name="Comma 2 2 6 2 2" xfId="857" xr:uid="{D99EE5D9-D5ED-4B1A-A110-ACF13D5EDBA0}"/>
    <cellStyle name="Comma 2 2 6 2 2 2" xfId="1727" xr:uid="{00000000-0005-0000-0000-0000DB000000}"/>
    <cellStyle name="Comma 2 2 6 2 3" xfId="1108" xr:uid="{D99EE5D9-D5ED-4B1A-A110-ACF13D5EDBA0}"/>
    <cellStyle name="Comma 2 2 6 2 3 2" xfId="1910" xr:uid="{00000000-0005-0000-0000-0000DC000000}"/>
    <cellStyle name="Comma 2 2 6 2 4" xfId="1361" xr:uid="{00000000-0005-0000-0000-0000B0000000}"/>
    <cellStyle name="Comma 2 2 6 3" xfId="736" xr:uid="{00000000-0005-0000-0000-00008D000000}"/>
    <cellStyle name="Comma 2 2 6 3 2" xfId="1542" xr:uid="{00000000-0005-0000-0000-0000B0000000}"/>
    <cellStyle name="Comma 2 2 6 4" xfId="981" xr:uid="{00000000-0005-0000-0000-00008F000000}"/>
    <cellStyle name="Comma 2 2 6 4 2" xfId="1789" xr:uid="{00000000-0005-0000-0000-0000DE000000}"/>
    <cellStyle name="Comma 2 2 6 5" xfId="1238" xr:uid="{00000000-0005-0000-0000-00008C000000}"/>
    <cellStyle name="Comma 2 2 7" xfId="548" xr:uid="{E0C4D64C-F410-487E-91FC-1DA97E693BB6}"/>
    <cellStyle name="Comma 2 2 7 2" xfId="797" xr:uid="{E0C4D64C-F410-487E-91FC-1DA97E693BB6}"/>
    <cellStyle name="Comma 2 2 7 2 2" xfId="1602" xr:uid="{00000000-0005-0000-0000-0000B0000000}"/>
    <cellStyle name="Comma 2 2 7 3" xfId="1048" xr:uid="{E0C4D64C-F410-487E-91FC-1DA97E693BB6}"/>
    <cellStyle name="Comma 2 2 7 3 2" xfId="1850" xr:uid="{00000000-0005-0000-0000-0000E1000000}"/>
    <cellStyle name="Comma 2 2 7 4" xfId="1421" xr:uid="{00000000-0005-0000-0000-0000B0000000}"/>
    <cellStyle name="Comma 2 2 8" xfId="676" xr:uid="{00000000-0005-0000-0000-00007E000000}"/>
    <cellStyle name="Comma 2 2 8 2" xfId="1663" xr:uid="{00000000-0005-0000-0000-0000B0000000}"/>
    <cellStyle name="Comma 2 2 8 3" xfId="1299" xr:uid="{00000000-0005-0000-0000-00007C000000}"/>
    <cellStyle name="Comma 2 2 9" xfId="919" xr:uid="{00000000-0005-0000-0000-000080000000}"/>
    <cellStyle name="Comma 2 2 9 2" xfId="1481" xr:uid="{00000000-0005-0000-0000-00007C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2 2 2" xfId="646" xr:uid="{A0B4B20A-1A29-423B-824B-EAC07A4DE1BF}"/>
    <cellStyle name="Comma 2 3 2 2 2 2 2" xfId="892" xr:uid="{A0B4B20A-1A29-423B-824B-EAC07A4DE1BF}"/>
    <cellStyle name="Comma 2 3 2 2 2 2 2 2" xfId="1762" xr:uid="{00000000-0005-0000-0000-0000E9000000}"/>
    <cellStyle name="Comma 2 3 2 2 2 2 3" xfId="1143" xr:uid="{A0B4B20A-1A29-423B-824B-EAC07A4DE1BF}"/>
    <cellStyle name="Comma 2 3 2 2 2 2 3 2" xfId="1945" xr:uid="{00000000-0005-0000-0000-0000EA000000}"/>
    <cellStyle name="Comma 2 3 2 2 2 2 4" xfId="1396" xr:uid="{00000000-0005-0000-0000-0000EF010000}"/>
    <cellStyle name="Comma 2 3 2 2 2 3" xfId="771" xr:uid="{00000000-0005-0000-0000-000091000000}"/>
    <cellStyle name="Comma 2 3 2 2 2 3 2" xfId="1577" xr:uid="{00000000-0005-0000-0000-0000EF010000}"/>
    <cellStyle name="Comma 2 3 2 2 2 4" xfId="1016" xr:uid="{00000000-0005-0000-0000-000093000000}"/>
    <cellStyle name="Comma 2 3 2 2 2 4 2" xfId="1824" xr:uid="{00000000-0005-0000-0000-0000EC000000}"/>
    <cellStyle name="Comma 2 3 2 2 2 5" xfId="1273" xr:uid="{00000000-0005-0000-0000-000090000000}"/>
    <cellStyle name="Comma 2 3 2 2 3" xfId="586" xr:uid="{0DAE2DDE-80CA-402C-A6B2-703C13E1B5B6}"/>
    <cellStyle name="Comma 2 3 2 2 3 2" xfId="832" xr:uid="{0DAE2DDE-80CA-402C-A6B2-703C13E1B5B6}"/>
    <cellStyle name="Comma 2 3 2 2 3 2 2" xfId="1637" xr:uid="{00000000-0005-0000-0000-0000EF010000}"/>
    <cellStyle name="Comma 2 3 2 2 3 3" xfId="1083" xr:uid="{0DAE2DDE-80CA-402C-A6B2-703C13E1B5B6}"/>
    <cellStyle name="Comma 2 3 2 2 3 3 2" xfId="1885" xr:uid="{00000000-0005-0000-0000-0000EF000000}"/>
    <cellStyle name="Comma 2 3 2 2 3 4" xfId="1456" xr:uid="{00000000-0005-0000-0000-0000EF010000}"/>
    <cellStyle name="Comma 2 3 2 2 4" xfId="711" xr:uid="{00000000-0005-0000-0000-000090000000}"/>
    <cellStyle name="Comma 2 3 2 2 4 2" xfId="1698" xr:uid="{00000000-0005-0000-0000-0000EF010000}"/>
    <cellStyle name="Comma 2 3 2 2 4 3" xfId="1309" xr:uid="{00000000-0005-0000-0000-000086000000}"/>
    <cellStyle name="Comma 2 3 2 2 5" xfId="956" xr:uid="{00000000-0005-0000-0000-000092000000}"/>
    <cellStyle name="Comma 2 3 2 2 5 2" xfId="1491" xr:uid="{00000000-0005-0000-0000-000086000000}"/>
    <cellStyle name="Comma 2 3 2 2 6" xfId="1213" xr:uid="{00000000-0005-0000-0000-00008F000000}"/>
    <cellStyle name="Comma 2 3 2 3" xfId="483" xr:uid="{00000000-0005-0000-0000-000092000000}"/>
    <cellStyle name="Comma 2 3 2 3 2" xfId="616" xr:uid="{3F144501-7B1D-4F6F-B9A8-4AB8BE8561EE}"/>
    <cellStyle name="Comma 2 3 2 3 2 2" xfId="862" xr:uid="{3F144501-7B1D-4F6F-B9A8-4AB8BE8561EE}"/>
    <cellStyle name="Comma 2 3 2 3 2 2 2" xfId="1732" xr:uid="{00000000-0005-0000-0000-0000F4000000}"/>
    <cellStyle name="Comma 2 3 2 3 2 3" xfId="1113" xr:uid="{3F144501-7B1D-4F6F-B9A8-4AB8BE8561EE}"/>
    <cellStyle name="Comma 2 3 2 3 2 3 2" xfId="1915" xr:uid="{00000000-0005-0000-0000-0000F5000000}"/>
    <cellStyle name="Comma 2 3 2 3 2 4" xfId="1366" xr:uid="{00000000-0005-0000-0000-0000B5000000}"/>
    <cellStyle name="Comma 2 3 2 3 3" xfId="741" xr:uid="{00000000-0005-0000-0000-000092000000}"/>
    <cellStyle name="Comma 2 3 2 3 3 2" xfId="1547" xr:uid="{00000000-0005-0000-0000-0000B5000000}"/>
    <cellStyle name="Comma 2 3 2 3 4" xfId="986" xr:uid="{00000000-0005-0000-0000-000094000000}"/>
    <cellStyle name="Comma 2 3 2 3 4 2" xfId="1794" xr:uid="{00000000-0005-0000-0000-0000F7000000}"/>
    <cellStyle name="Comma 2 3 2 3 5" xfId="1243" xr:uid="{00000000-0005-0000-0000-000091000000}"/>
    <cellStyle name="Comma 2 3 2 4" xfId="553" xr:uid="{67AE0F17-71A7-427D-80AD-0E17766DDC70}"/>
    <cellStyle name="Comma 2 3 2 4 2" xfId="802" xr:uid="{67AE0F17-71A7-427D-80AD-0E17766DDC70}"/>
    <cellStyle name="Comma 2 3 2 4 2 2" xfId="1607" xr:uid="{00000000-0005-0000-0000-0000B5000000}"/>
    <cellStyle name="Comma 2 3 2 4 3" xfId="1053" xr:uid="{67AE0F17-71A7-427D-80AD-0E17766DDC70}"/>
    <cellStyle name="Comma 2 3 2 4 3 2" xfId="1855" xr:uid="{00000000-0005-0000-0000-0000FA000000}"/>
    <cellStyle name="Comma 2 3 2 4 4" xfId="1426" xr:uid="{00000000-0005-0000-0000-0000B5000000}"/>
    <cellStyle name="Comma 2 3 2 5" xfId="681" xr:uid="{00000000-0005-0000-0000-00008F000000}"/>
    <cellStyle name="Comma 2 3 2 5 2" xfId="1668" xr:uid="{00000000-0005-0000-0000-0000B5000000}"/>
    <cellStyle name="Comma 2 3 2 5 3" xfId="1308" xr:uid="{00000000-0005-0000-0000-000085000000}"/>
    <cellStyle name="Comma 2 3 2 6" xfId="924" xr:uid="{00000000-0005-0000-0000-000091000000}"/>
    <cellStyle name="Comma 2 3 2 6 2" xfId="1490" xr:uid="{00000000-0005-0000-0000-000085000000}"/>
    <cellStyle name="Comma 2 3 2 7" xfId="1180" xr:uid="{00000000-0005-0000-0000-00008E000000}"/>
    <cellStyle name="Comma 2 3 3" xfId="450" xr:uid="{00000000-0005-0000-0000-000093000000}"/>
    <cellStyle name="Comma 2 3 3 2" xfId="515" xr:uid="{00000000-0005-0000-0000-000094000000}"/>
    <cellStyle name="Comma 2 3 3 2 2" xfId="645" xr:uid="{E7676A26-FF0A-406E-B497-DF6995D2AF1C}"/>
    <cellStyle name="Comma 2 3 3 2 2 2" xfId="891" xr:uid="{E7676A26-FF0A-406E-B497-DF6995D2AF1C}"/>
    <cellStyle name="Comma 2 3 3 2 2 2 2" xfId="1761" xr:uid="{00000000-0005-0000-0000-000000010000}"/>
    <cellStyle name="Comma 2 3 3 2 2 3" xfId="1142" xr:uid="{E7676A26-FF0A-406E-B497-DF6995D2AF1C}"/>
    <cellStyle name="Comma 2 3 3 2 2 3 2" xfId="1944" xr:uid="{00000000-0005-0000-0000-000001010000}"/>
    <cellStyle name="Comma 2 3 3 2 2 4" xfId="1395" xr:uid="{00000000-0005-0000-0000-0000EE010000}"/>
    <cellStyle name="Comma 2 3 3 2 3" xfId="770" xr:uid="{00000000-0005-0000-0000-000094000000}"/>
    <cellStyle name="Comma 2 3 3 2 3 2" xfId="1576" xr:uid="{00000000-0005-0000-0000-0000EE010000}"/>
    <cellStyle name="Comma 2 3 3 2 4" xfId="1015" xr:uid="{00000000-0005-0000-0000-000096000000}"/>
    <cellStyle name="Comma 2 3 3 2 4 2" xfId="1823" xr:uid="{00000000-0005-0000-0000-000003010000}"/>
    <cellStyle name="Comma 2 3 3 2 5" xfId="1272" xr:uid="{00000000-0005-0000-0000-000093000000}"/>
    <cellStyle name="Comma 2 3 3 3" xfId="585" xr:uid="{4978FE07-57B0-473A-8EA4-43C0CA662874}"/>
    <cellStyle name="Comma 2 3 3 3 2" xfId="831" xr:uid="{4978FE07-57B0-473A-8EA4-43C0CA662874}"/>
    <cellStyle name="Comma 2 3 3 3 2 2" xfId="1636" xr:uid="{00000000-0005-0000-0000-0000EE010000}"/>
    <cellStyle name="Comma 2 3 3 3 3" xfId="1082" xr:uid="{4978FE07-57B0-473A-8EA4-43C0CA662874}"/>
    <cellStyle name="Comma 2 3 3 3 3 2" xfId="1884" xr:uid="{00000000-0005-0000-0000-000006010000}"/>
    <cellStyle name="Comma 2 3 3 3 4" xfId="1455" xr:uid="{00000000-0005-0000-0000-0000EE010000}"/>
    <cellStyle name="Comma 2 3 3 4" xfId="710" xr:uid="{00000000-0005-0000-0000-000093000000}"/>
    <cellStyle name="Comma 2 3 3 4 2" xfId="1697" xr:uid="{00000000-0005-0000-0000-0000EE010000}"/>
    <cellStyle name="Comma 2 3 3 4 3" xfId="1310" xr:uid="{00000000-0005-0000-0000-000087000000}"/>
    <cellStyle name="Comma 2 3 3 5" xfId="955" xr:uid="{00000000-0005-0000-0000-000095000000}"/>
    <cellStyle name="Comma 2 3 3 5 2" xfId="1492" xr:uid="{00000000-0005-0000-0000-000087000000}"/>
    <cellStyle name="Comma 2 3 3 6" xfId="1212" xr:uid="{00000000-0005-0000-0000-000092000000}"/>
    <cellStyle name="Comma 2 3 4" xfId="482" xr:uid="{00000000-0005-0000-0000-000095000000}"/>
    <cellStyle name="Comma 2 3 4 2" xfId="615" xr:uid="{45004A68-1491-4AD5-BACE-6D30C5F00D88}"/>
    <cellStyle name="Comma 2 3 4 2 2" xfId="861" xr:uid="{45004A68-1491-4AD5-BACE-6D30C5F00D88}"/>
    <cellStyle name="Comma 2 3 4 2 2 2" xfId="1731" xr:uid="{00000000-0005-0000-0000-00000B010000}"/>
    <cellStyle name="Comma 2 3 4 2 3" xfId="1112" xr:uid="{45004A68-1491-4AD5-BACE-6D30C5F00D88}"/>
    <cellStyle name="Comma 2 3 4 2 3 2" xfId="1914" xr:uid="{00000000-0005-0000-0000-00000C010000}"/>
    <cellStyle name="Comma 2 3 4 2 4" xfId="1365" xr:uid="{00000000-0005-0000-0000-0000B4000000}"/>
    <cellStyle name="Comma 2 3 4 3" xfId="740" xr:uid="{00000000-0005-0000-0000-000095000000}"/>
    <cellStyle name="Comma 2 3 4 3 2" xfId="1546" xr:uid="{00000000-0005-0000-0000-0000B4000000}"/>
    <cellStyle name="Comma 2 3 4 4" xfId="985" xr:uid="{00000000-0005-0000-0000-000097000000}"/>
    <cellStyle name="Comma 2 3 4 4 2" xfId="1793" xr:uid="{00000000-0005-0000-0000-00000E010000}"/>
    <cellStyle name="Comma 2 3 4 5" xfId="1242" xr:uid="{00000000-0005-0000-0000-000094000000}"/>
    <cellStyle name="Comma 2 3 5" xfId="552" xr:uid="{22335C40-DD22-4FE6-8986-B8CED483A340}"/>
    <cellStyle name="Comma 2 3 5 2" xfId="801" xr:uid="{22335C40-DD22-4FE6-8986-B8CED483A340}"/>
    <cellStyle name="Comma 2 3 5 2 2" xfId="1606" xr:uid="{00000000-0005-0000-0000-0000B4000000}"/>
    <cellStyle name="Comma 2 3 5 3" xfId="1052" xr:uid="{22335C40-DD22-4FE6-8986-B8CED483A340}"/>
    <cellStyle name="Comma 2 3 5 3 2" xfId="1854" xr:uid="{00000000-0005-0000-0000-000011010000}"/>
    <cellStyle name="Comma 2 3 5 4" xfId="1425" xr:uid="{00000000-0005-0000-0000-0000B4000000}"/>
    <cellStyle name="Comma 2 3 6" xfId="680" xr:uid="{00000000-0005-0000-0000-00008E000000}"/>
    <cellStyle name="Comma 2 3 6 2" xfId="1667" xr:uid="{00000000-0005-0000-0000-0000B4000000}"/>
    <cellStyle name="Comma 2 3 6 3" xfId="1307" xr:uid="{00000000-0005-0000-0000-000084000000}"/>
    <cellStyle name="Comma 2 3 7" xfId="923" xr:uid="{00000000-0005-0000-0000-000090000000}"/>
    <cellStyle name="Comma 2 3 7 2" xfId="1489" xr:uid="{00000000-0005-0000-0000-000084000000}"/>
    <cellStyle name="Comma 2 3 8" xfId="1179" xr:uid="{00000000-0005-0000-0000-00008D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2 2 2" xfId="648" xr:uid="{AAE10882-82EB-4D20-9878-8338FCC0708C}"/>
    <cellStyle name="Comma 2 4 2 2 2 2 2" xfId="894" xr:uid="{AAE10882-82EB-4D20-9878-8338FCC0708C}"/>
    <cellStyle name="Comma 2 4 2 2 2 2 2 2" xfId="1764" xr:uid="{00000000-0005-0000-0000-000019010000}"/>
    <cellStyle name="Comma 2 4 2 2 2 2 3" xfId="1145" xr:uid="{AAE10882-82EB-4D20-9878-8338FCC0708C}"/>
    <cellStyle name="Comma 2 4 2 2 2 2 3 2" xfId="1947" xr:uid="{00000000-0005-0000-0000-00001A010000}"/>
    <cellStyle name="Comma 2 4 2 2 2 2 4" xfId="1398" xr:uid="{00000000-0005-0000-0000-0000F1010000}"/>
    <cellStyle name="Comma 2 4 2 2 2 3" xfId="773" xr:uid="{00000000-0005-0000-0000-000099000000}"/>
    <cellStyle name="Comma 2 4 2 2 2 3 2" xfId="1579" xr:uid="{00000000-0005-0000-0000-0000F1010000}"/>
    <cellStyle name="Comma 2 4 2 2 2 4" xfId="1018" xr:uid="{00000000-0005-0000-0000-00009B000000}"/>
    <cellStyle name="Comma 2 4 2 2 2 4 2" xfId="1826" xr:uid="{00000000-0005-0000-0000-00001C010000}"/>
    <cellStyle name="Comma 2 4 2 2 2 5" xfId="1275" xr:uid="{00000000-0005-0000-0000-000098000000}"/>
    <cellStyle name="Comma 2 4 2 2 3" xfId="588" xr:uid="{E558DDA9-3701-4EFB-AD57-6FDB899C8821}"/>
    <cellStyle name="Comma 2 4 2 2 3 2" xfId="834" xr:uid="{E558DDA9-3701-4EFB-AD57-6FDB899C8821}"/>
    <cellStyle name="Comma 2 4 2 2 3 2 2" xfId="1639" xr:uid="{00000000-0005-0000-0000-0000F1010000}"/>
    <cellStyle name="Comma 2 4 2 2 3 3" xfId="1085" xr:uid="{E558DDA9-3701-4EFB-AD57-6FDB899C8821}"/>
    <cellStyle name="Comma 2 4 2 2 3 3 2" xfId="1887" xr:uid="{00000000-0005-0000-0000-00001F010000}"/>
    <cellStyle name="Comma 2 4 2 2 3 4" xfId="1458" xr:uid="{00000000-0005-0000-0000-0000F1010000}"/>
    <cellStyle name="Comma 2 4 2 2 4" xfId="713" xr:uid="{00000000-0005-0000-0000-000098000000}"/>
    <cellStyle name="Comma 2 4 2 2 4 2" xfId="1700" xr:uid="{00000000-0005-0000-0000-0000F1010000}"/>
    <cellStyle name="Comma 2 4 2 2 4 3" xfId="1313" xr:uid="{00000000-0005-0000-0000-00008A000000}"/>
    <cellStyle name="Comma 2 4 2 2 5" xfId="958" xr:uid="{00000000-0005-0000-0000-00009A000000}"/>
    <cellStyle name="Comma 2 4 2 2 5 2" xfId="1495" xr:uid="{00000000-0005-0000-0000-00008A000000}"/>
    <cellStyle name="Comma 2 4 2 2 6" xfId="1215" xr:uid="{00000000-0005-0000-0000-000097000000}"/>
    <cellStyle name="Comma 2 4 2 3" xfId="485" xr:uid="{00000000-0005-0000-0000-00009A000000}"/>
    <cellStyle name="Comma 2 4 2 3 2" xfId="618" xr:uid="{C3269A05-92D2-410D-9BC1-200FD442D26C}"/>
    <cellStyle name="Comma 2 4 2 3 2 2" xfId="864" xr:uid="{C3269A05-92D2-410D-9BC1-200FD442D26C}"/>
    <cellStyle name="Comma 2 4 2 3 2 2 2" xfId="1734" xr:uid="{00000000-0005-0000-0000-000024010000}"/>
    <cellStyle name="Comma 2 4 2 3 2 3" xfId="1115" xr:uid="{C3269A05-92D2-410D-9BC1-200FD442D26C}"/>
    <cellStyle name="Comma 2 4 2 3 2 3 2" xfId="1917" xr:uid="{00000000-0005-0000-0000-000025010000}"/>
    <cellStyle name="Comma 2 4 2 3 2 4" xfId="1368" xr:uid="{00000000-0005-0000-0000-0000B7000000}"/>
    <cellStyle name="Comma 2 4 2 3 3" xfId="743" xr:uid="{00000000-0005-0000-0000-00009A000000}"/>
    <cellStyle name="Comma 2 4 2 3 3 2" xfId="1549" xr:uid="{00000000-0005-0000-0000-0000B7000000}"/>
    <cellStyle name="Comma 2 4 2 3 4" xfId="988" xr:uid="{00000000-0005-0000-0000-00009C000000}"/>
    <cellStyle name="Comma 2 4 2 3 4 2" xfId="1796" xr:uid="{00000000-0005-0000-0000-000027010000}"/>
    <cellStyle name="Comma 2 4 2 3 5" xfId="1245" xr:uid="{00000000-0005-0000-0000-000099000000}"/>
    <cellStyle name="Comma 2 4 2 4" xfId="555" xr:uid="{8439224A-8FC1-4412-8DB0-3BFDEDE314D3}"/>
    <cellStyle name="Comma 2 4 2 4 2" xfId="804" xr:uid="{8439224A-8FC1-4412-8DB0-3BFDEDE314D3}"/>
    <cellStyle name="Comma 2 4 2 4 2 2" xfId="1609" xr:uid="{00000000-0005-0000-0000-0000B7000000}"/>
    <cellStyle name="Comma 2 4 2 4 3" xfId="1055" xr:uid="{8439224A-8FC1-4412-8DB0-3BFDEDE314D3}"/>
    <cellStyle name="Comma 2 4 2 4 3 2" xfId="1857" xr:uid="{00000000-0005-0000-0000-00002A010000}"/>
    <cellStyle name="Comma 2 4 2 4 4" xfId="1428" xr:uid="{00000000-0005-0000-0000-0000B7000000}"/>
    <cellStyle name="Comma 2 4 2 5" xfId="683" xr:uid="{00000000-0005-0000-0000-000097000000}"/>
    <cellStyle name="Comma 2 4 2 5 2" xfId="1670" xr:uid="{00000000-0005-0000-0000-0000B7000000}"/>
    <cellStyle name="Comma 2 4 2 5 3" xfId="1312" xr:uid="{00000000-0005-0000-0000-000089000000}"/>
    <cellStyle name="Comma 2 4 2 6" xfId="926" xr:uid="{00000000-0005-0000-0000-000099000000}"/>
    <cellStyle name="Comma 2 4 2 6 2" xfId="1494" xr:uid="{00000000-0005-0000-0000-000089000000}"/>
    <cellStyle name="Comma 2 4 2 7" xfId="1182" xr:uid="{00000000-0005-0000-0000-000096000000}"/>
    <cellStyle name="Comma 2 4 3" xfId="139" xr:uid="{00000000-0005-0000-0000-00009B000000}"/>
    <cellStyle name="Comma 2 4 3 2" xfId="454" xr:uid="{00000000-0005-0000-0000-00009C000000}"/>
    <cellStyle name="Comma 2 4 3 2 2" xfId="519" xr:uid="{00000000-0005-0000-0000-00009D000000}"/>
    <cellStyle name="Comma 2 4 3 2 2 2" xfId="649" xr:uid="{DAFA8C9E-C9C0-450A-9B48-66DE0D62B707}"/>
    <cellStyle name="Comma 2 4 3 2 2 2 2" xfId="895" xr:uid="{DAFA8C9E-C9C0-450A-9B48-66DE0D62B707}"/>
    <cellStyle name="Comma 2 4 3 2 2 2 2 2" xfId="1765" xr:uid="{00000000-0005-0000-0000-000031010000}"/>
    <cellStyle name="Comma 2 4 3 2 2 2 3" xfId="1146" xr:uid="{DAFA8C9E-C9C0-450A-9B48-66DE0D62B707}"/>
    <cellStyle name="Comma 2 4 3 2 2 2 3 2" xfId="1948" xr:uid="{00000000-0005-0000-0000-000032010000}"/>
    <cellStyle name="Comma 2 4 3 2 2 2 4" xfId="1399" xr:uid="{00000000-0005-0000-0000-0000F2010000}"/>
    <cellStyle name="Comma 2 4 3 2 2 3" xfId="774" xr:uid="{00000000-0005-0000-0000-00009D000000}"/>
    <cellStyle name="Comma 2 4 3 2 2 3 2" xfId="1580" xr:uid="{00000000-0005-0000-0000-0000F2010000}"/>
    <cellStyle name="Comma 2 4 3 2 2 4" xfId="1019" xr:uid="{00000000-0005-0000-0000-00009F000000}"/>
    <cellStyle name="Comma 2 4 3 2 2 4 2" xfId="1827" xr:uid="{00000000-0005-0000-0000-000034010000}"/>
    <cellStyle name="Comma 2 4 3 2 2 5" xfId="1276" xr:uid="{00000000-0005-0000-0000-00009C000000}"/>
    <cellStyle name="Comma 2 4 3 2 3" xfId="589" xr:uid="{932B67DE-8A2E-4DC2-A982-D9E57B1B4599}"/>
    <cellStyle name="Comma 2 4 3 2 3 2" xfId="835" xr:uid="{932B67DE-8A2E-4DC2-A982-D9E57B1B4599}"/>
    <cellStyle name="Comma 2 4 3 2 3 2 2" xfId="1640" xr:uid="{00000000-0005-0000-0000-0000F2010000}"/>
    <cellStyle name="Comma 2 4 3 2 3 3" xfId="1086" xr:uid="{932B67DE-8A2E-4DC2-A982-D9E57B1B4599}"/>
    <cellStyle name="Comma 2 4 3 2 3 3 2" xfId="1888" xr:uid="{00000000-0005-0000-0000-000037010000}"/>
    <cellStyle name="Comma 2 4 3 2 3 4" xfId="1459" xr:uid="{00000000-0005-0000-0000-0000F2010000}"/>
    <cellStyle name="Comma 2 4 3 2 4" xfId="714" xr:uid="{00000000-0005-0000-0000-00009C000000}"/>
    <cellStyle name="Comma 2 4 3 2 4 2" xfId="1701" xr:uid="{00000000-0005-0000-0000-0000F2010000}"/>
    <cellStyle name="Comma 2 4 3 2 4 3" xfId="1315" xr:uid="{00000000-0005-0000-0000-00008C000000}"/>
    <cellStyle name="Comma 2 4 3 2 5" xfId="959" xr:uid="{00000000-0005-0000-0000-00009E000000}"/>
    <cellStyle name="Comma 2 4 3 2 5 2" xfId="1497" xr:uid="{00000000-0005-0000-0000-00008C000000}"/>
    <cellStyle name="Comma 2 4 3 2 6" xfId="1216" xr:uid="{00000000-0005-0000-0000-00009B000000}"/>
    <cellStyle name="Comma 2 4 3 3" xfId="486" xr:uid="{00000000-0005-0000-0000-00009E000000}"/>
    <cellStyle name="Comma 2 4 3 3 2" xfId="619" xr:uid="{5983918B-A4D3-48D0-A64A-9FC293D029A6}"/>
    <cellStyle name="Comma 2 4 3 3 2 2" xfId="865" xr:uid="{5983918B-A4D3-48D0-A64A-9FC293D029A6}"/>
    <cellStyle name="Comma 2 4 3 3 2 2 2" xfId="1735" xr:uid="{00000000-0005-0000-0000-00003C010000}"/>
    <cellStyle name="Comma 2 4 3 3 2 3" xfId="1116" xr:uid="{5983918B-A4D3-48D0-A64A-9FC293D029A6}"/>
    <cellStyle name="Comma 2 4 3 3 2 3 2" xfId="1918" xr:uid="{00000000-0005-0000-0000-00003D010000}"/>
    <cellStyle name="Comma 2 4 3 3 2 4" xfId="1369" xr:uid="{00000000-0005-0000-0000-0000B8000000}"/>
    <cellStyle name="Comma 2 4 3 3 3" xfId="744" xr:uid="{00000000-0005-0000-0000-00009E000000}"/>
    <cellStyle name="Comma 2 4 3 3 3 2" xfId="1550" xr:uid="{00000000-0005-0000-0000-0000B8000000}"/>
    <cellStyle name="Comma 2 4 3 3 4" xfId="989" xr:uid="{00000000-0005-0000-0000-0000A0000000}"/>
    <cellStyle name="Comma 2 4 3 3 4 2" xfId="1797" xr:uid="{00000000-0005-0000-0000-00003F010000}"/>
    <cellStyle name="Comma 2 4 3 3 5" xfId="1246" xr:uid="{00000000-0005-0000-0000-00009D000000}"/>
    <cellStyle name="Comma 2 4 3 4" xfId="556" xr:uid="{BE065FA6-E38B-429D-AB2C-926A05DF534B}"/>
    <cellStyle name="Comma 2 4 3 4 2" xfId="805" xr:uid="{BE065FA6-E38B-429D-AB2C-926A05DF534B}"/>
    <cellStyle name="Comma 2 4 3 4 2 2" xfId="1610" xr:uid="{00000000-0005-0000-0000-0000B8000000}"/>
    <cellStyle name="Comma 2 4 3 4 3" xfId="1056" xr:uid="{BE065FA6-E38B-429D-AB2C-926A05DF534B}"/>
    <cellStyle name="Comma 2 4 3 4 3 2" xfId="1858" xr:uid="{00000000-0005-0000-0000-000042010000}"/>
    <cellStyle name="Comma 2 4 3 4 4" xfId="1429" xr:uid="{00000000-0005-0000-0000-0000B8000000}"/>
    <cellStyle name="Comma 2 4 3 5" xfId="684" xr:uid="{00000000-0005-0000-0000-00009B000000}"/>
    <cellStyle name="Comma 2 4 3 5 2" xfId="1671" xr:uid="{00000000-0005-0000-0000-0000B8000000}"/>
    <cellStyle name="Comma 2 4 3 5 3" xfId="1314" xr:uid="{00000000-0005-0000-0000-00008B000000}"/>
    <cellStyle name="Comma 2 4 3 6" xfId="927" xr:uid="{00000000-0005-0000-0000-00009D000000}"/>
    <cellStyle name="Comma 2 4 3 6 2" xfId="1496" xr:uid="{00000000-0005-0000-0000-00008B000000}"/>
    <cellStyle name="Comma 2 4 3 7" xfId="1183" xr:uid="{00000000-0005-0000-0000-00009A000000}"/>
    <cellStyle name="Comma 2 4 4" xfId="452" xr:uid="{00000000-0005-0000-0000-00009F000000}"/>
    <cellStyle name="Comma 2 4 4 2" xfId="517" xr:uid="{00000000-0005-0000-0000-0000A0000000}"/>
    <cellStyle name="Comma 2 4 4 2 2" xfId="647" xr:uid="{DF27CB3B-26C7-41E4-B974-1CDD522173D2}"/>
    <cellStyle name="Comma 2 4 4 2 2 2" xfId="893" xr:uid="{DF27CB3B-26C7-41E4-B974-1CDD522173D2}"/>
    <cellStyle name="Comma 2 4 4 2 2 2 2" xfId="1763" xr:uid="{00000000-0005-0000-0000-000048010000}"/>
    <cellStyle name="Comma 2 4 4 2 2 3" xfId="1144" xr:uid="{DF27CB3B-26C7-41E4-B974-1CDD522173D2}"/>
    <cellStyle name="Comma 2 4 4 2 2 3 2" xfId="1946" xr:uid="{00000000-0005-0000-0000-000049010000}"/>
    <cellStyle name="Comma 2 4 4 2 2 4" xfId="1397" xr:uid="{00000000-0005-0000-0000-0000F0010000}"/>
    <cellStyle name="Comma 2 4 4 2 3" xfId="772" xr:uid="{00000000-0005-0000-0000-0000A0000000}"/>
    <cellStyle name="Comma 2 4 4 2 3 2" xfId="1578" xr:uid="{00000000-0005-0000-0000-0000F0010000}"/>
    <cellStyle name="Comma 2 4 4 2 4" xfId="1017" xr:uid="{00000000-0005-0000-0000-0000A2000000}"/>
    <cellStyle name="Comma 2 4 4 2 4 2" xfId="1825" xr:uid="{00000000-0005-0000-0000-00004B010000}"/>
    <cellStyle name="Comma 2 4 4 2 5" xfId="1274" xr:uid="{00000000-0005-0000-0000-00009F000000}"/>
    <cellStyle name="Comma 2 4 4 3" xfId="587" xr:uid="{750390B8-40D1-48C0-BBEC-D3C7A6819033}"/>
    <cellStyle name="Comma 2 4 4 3 2" xfId="833" xr:uid="{750390B8-40D1-48C0-BBEC-D3C7A6819033}"/>
    <cellStyle name="Comma 2 4 4 3 2 2" xfId="1638" xr:uid="{00000000-0005-0000-0000-0000F0010000}"/>
    <cellStyle name="Comma 2 4 4 3 3" xfId="1084" xr:uid="{750390B8-40D1-48C0-BBEC-D3C7A6819033}"/>
    <cellStyle name="Comma 2 4 4 3 3 2" xfId="1886" xr:uid="{00000000-0005-0000-0000-00004E010000}"/>
    <cellStyle name="Comma 2 4 4 3 4" xfId="1457" xr:uid="{00000000-0005-0000-0000-0000F0010000}"/>
    <cellStyle name="Comma 2 4 4 4" xfId="712" xr:uid="{00000000-0005-0000-0000-00009F000000}"/>
    <cellStyle name="Comma 2 4 4 4 2" xfId="1699" xr:uid="{00000000-0005-0000-0000-0000F0010000}"/>
    <cellStyle name="Comma 2 4 4 4 3" xfId="1316" xr:uid="{00000000-0005-0000-0000-00008D000000}"/>
    <cellStyle name="Comma 2 4 4 5" xfId="957" xr:uid="{00000000-0005-0000-0000-0000A1000000}"/>
    <cellStyle name="Comma 2 4 4 5 2" xfId="1498" xr:uid="{00000000-0005-0000-0000-00008D000000}"/>
    <cellStyle name="Comma 2 4 4 6" xfId="1214" xr:uid="{00000000-0005-0000-0000-00009E000000}"/>
    <cellStyle name="Comma 2 4 5" xfId="484" xr:uid="{00000000-0005-0000-0000-0000A1000000}"/>
    <cellStyle name="Comma 2 4 5 2" xfId="617" xr:uid="{1BCFAE5A-F02C-438B-A319-79F6137570D9}"/>
    <cellStyle name="Comma 2 4 5 2 2" xfId="863" xr:uid="{1BCFAE5A-F02C-438B-A319-79F6137570D9}"/>
    <cellStyle name="Comma 2 4 5 2 2 2" xfId="1733" xr:uid="{00000000-0005-0000-0000-000053010000}"/>
    <cellStyle name="Comma 2 4 5 2 3" xfId="1114" xr:uid="{1BCFAE5A-F02C-438B-A319-79F6137570D9}"/>
    <cellStyle name="Comma 2 4 5 2 3 2" xfId="1916" xr:uid="{00000000-0005-0000-0000-000054010000}"/>
    <cellStyle name="Comma 2 4 5 2 4" xfId="1367" xr:uid="{00000000-0005-0000-0000-0000B6000000}"/>
    <cellStyle name="Comma 2 4 5 3" xfId="742" xr:uid="{00000000-0005-0000-0000-0000A1000000}"/>
    <cellStyle name="Comma 2 4 5 3 2" xfId="1548" xr:uid="{00000000-0005-0000-0000-0000B6000000}"/>
    <cellStyle name="Comma 2 4 5 4" xfId="987" xr:uid="{00000000-0005-0000-0000-0000A3000000}"/>
    <cellStyle name="Comma 2 4 5 4 2" xfId="1795" xr:uid="{00000000-0005-0000-0000-000056010000}"/>
    <cellStyle name="Comma 2 4 5 5" xfId="1244" xr:uid="{00000000-0005-0000-0000-0000A0000000}"/>
    <cellStyle name="Comma 2 4 6" xfId="554" xr:uid="{E1CCC0E1-AB59-4C38-8D08-FC873D5BD827}"/>
    <cellStyle name="Comma 2 4 6 2" xfId="803" xr:uid="{E1CCC0E1-AB59-4C38-8D08-FC873D5BD827}"/>
    <cellStyle name="Comma 2 4 6 2 2" xfId="1608" xr:uid="{00000000-0005-0000-0000-0000B6000000}"/>
    <cellStyle name="Comma 2 4 6 3" xfId="1054" xr:uid="{E1CCC0E1-AB59-4C38-8D08-FC873D5BD827}"/>
    <cellStyle name="Comma 2 4 6 3 2" xfId="1856" xr:uid="{00000000-0005-0000-0000-000059010000}"/>
    <cellStyle name="Comma 2 4 6 4" xfId="1427" xr:uid="{00000000-0005-0000-0000-0000B6000000}"/>
    <cellStyle name="Comma 2 4 7" xfId="682" xr:uid="{00000000-0005-0000-0000-000096000000}"/>
    <cellStyle name="Comma 2 4 7 2" xfId="1669" xr:uid="{00000000-0005-0000-0000-0000B6000000}"/>
    <cellStyle name="Comma 2 4 7 3" xfId="1311" xr:uid="{00000000-0005-0000-0000-000088000000}"/>
    <cellStyle name="Comma 2 4 8" xfId="925" xr:uid="{00000000-0005-0000-0000-000098000000}"/>
    <cellStyle name="Comma 2 4 8 2" xfId="1493" xr:uid="{00000000-0005-0000-0000-000088000000}"/>
    <cellStyle name="Comma 2 4 9" xfId="1181" xr:uid="{00000000-0005-0000-0000-000095000000}"/>
    <cellStyle name="Comma 2 5" xfId="140" xr:uid="{00000000-0005-0000-0000-0000A2000000}"/>
    <cellStyle name="Comma 2 5 2" xfId="455" xr:uid="{00000000-0005-0000-0000-0000A3000000}"/>
    <cellStyle name="Comma 2 5 2 2" xfId="520" xr:uid="{00000000-0005-0000-0000-0000A4000000}"/>
    <cellStyle name="Comma 2 5 2 2 2" xfId="650" xr:uid="{8AB9B2E7-8642-44E9-954F-42019154D35D}"/>
    <cellStyle name="Comma 2 5 2 2 2 2" xfId="896" xr:uid="{8AB9B2E7-8642-44E9-954F-42019154D35D}"/>
    <cellStyle name="Comma 2 5 2 2 2 2 2" xfId="1766" xr:uid="{00000000-0005-0000-0000-000060010000}"/>
    <cellStyle name="Comma 2 5 2 2 2 3" xfId="1147" xr:uid="{8AB9B2E7-8642-44E9-954F-42019154D35D}"/>
    <cellStyle name="Comma 2 5 2 2 2 3 2" xfId="1949" xr:uid="{00000000-0005-0000-0000-000061010000}"/>
    <cellStyle name="Comma 2 5 2 2 2 4" xfId="1400" xr:uid="{00000000-0005-0000-0000-0000F3010000}"/>
    <cellStyle name="Comma 2 5 2 2 3" xfId="775" xr:uid="{00000000-0005-0000-0000-0000A4000000}"/>
    <cellStyle name="Comma 2 5 2 2 3 2" xfId="1581" xr:uid="{00000000-0005-0000-0000-0000F3010000}"/>
    <cellStyle name="Comma 2 5 2 2 4" xfId="1020" xr:uid="{00000000-0005-0000-0000-0000A6000000}"/>
    <cellStyle name="Comma 2 5 2 2 4 2" xfId="1828" xr:uid="{00000000-0005-0000-0000-000063010000}"/>
    <cellStyle name="Comma 2 5 2 2 5" xfId="1277" xr:uid="{00000000-0005-0000-0000-0000A3000000}"/>
    <cellStyle name="Comma 2 5 2 3" xfId="590" xr:uid="{C7838E1C-D410-4A0A-887F-6C73C5866D37}"/>
    <cellStyle name="Comma 2 5 2 3 2" xfId="836" xr:uid="{C7838E1C-D410-4A0A-887F-6C73C5866D37}"/>
    <cellStyle name="Comma 2 5 2 3 2 2" xfId="1641" xr:uid="{00000000-0005-0000-0000-0000F3010000}"/>
    <cellStyle name="Comma 2 5 2 3 3" xfId="1087" xr:uid="{C7838E1C-D410-4A0A-887F-6C73C5866D37}"/>
    <cellStyle name="Comma 2 5 2 3 3 2" xfId="1889" xr:uid="{00000000-0005-0000-0000-000066010000}"/>
    <cellStyle name="Comma 2 5 2 3 4" xfId="1460" xr:uid="{00000000-0005-0000-0000-0000F3010000}"/>
    <cellStyle name="Comma 2 5 2 4" xfId="715" xr:uid="{00000000-0005-0000-0000-0000A3000000}"/>
    <cellStyle name="Comma 2 5 2 4 2" xfId="1702" xr:uid="{00000000-0005-0000-0000-0000F3010000}"/>
    <cellStyle name="Comma 2 5 2 4 3" xfId="1318" xr:uid="{00000000-0005-0000-0000-00008F000000}"/>
    <cellStyle name="Comma 2 5 2 5" xfId="960" xr:uid="{00000000-0005-0000-0000-0000A5000000}"/>
    <cellStyle name="Comma 2 5 2 5 2" xfId="1500" xr:uid="{00000000-0005-0000-0000-00008F000000}"/>
    <cellStyle name="Comma 2 5 2 6" xfId="1217" xr:uid="{00000000-0005-0000-0000-0000A2000000}"/>
    <cellStyle name="Comma 2 5 3" xfId="487" xr:uid="{00000000-0005-0000-0000-0000A5000000}"/>
    <cellStyle name="Comma 2 5 3 2" xfId="620" xr:uid="{642AD1A0-7177-4785-BA4C-B695C1000D01}"/>
    <cellStyle name="Comma 2 5 3 2 2" xfId="866" xr:uid="{642AD1A0-7177-4785-BA4C-B695C1000D01}"/>
    <cellStyle name="Comma 2 5 3 2 2 2" xfId="1736" xr:uid="{00000000-0005-0000-0000-00006B010000}"/>
    <cellStyle name="Comma 2 5 3 2 3" xfId="1117" xr:uid="{642AD1A0-7177-4785-BA4C-B695C1000D01}"/>
    <cellStyle name="Comma 2 5 3 2 3 2" xfId="1919" xr:uid="{00000000-0005-0000-0000-00006C010000}"/>
    <cellStyle name="Comma 2 5 3 2 4" xfId="1370" xr:uid="{00000000-0005-0000-0000-0000B9000000}"/>
    <cellStyle name="Comma 2 5 3 3" xfId="745" xr:uid="{00000000-0005-0000-0000-0000A5000000}"/>
    <cellStyle name="Comma 2 5 3 3 2" xfId="1551" xr:uid="{00000000-0005-0000-0000-0000B9000000}"/>
    <cellStyle name="Comma 2 5 3 4" xfId="990" xr:uid="{00000000-0005-0000-0000-0000A7000000}"/>
    <cellStyle name="Comma 2 5 3 4 2" xfId="1798" xr:uid="{00000000-0005-0000-0000-00006E010000}"/>
    <cellStyle name="Comma 2 5 3 5" xfId="1247" xr:uid="{00000000-0005-0000-0000-0000A4000000}"/>
    <cellStyle name="Comma 2 5 4" xfId="557" xr:uid="{9C909FC7-D92E-4ABB-ABF4-44C4A2E6F783}"/>
    <cellStyle name="Comma 2 5 4 2" xfId="806" xr:uid="{9C909FC7-D92E-4ABB-ABF4-44C4A2E6F783}"/>
    <cellStyle name="Comma 2 5 4 2 2" xfId="1611" xr:uid="{00000000-0005-0000-0000-0000B9000000}"/>
    <cellStyle name="Comma 2 5 4 3" xfId="1057" xr:uid="{9C909FC7-D92E-4ABB-ABF4-44C4A2E6F783}"/>
    <cellStyle name="Comma 2 5 4 3 2" xfId="1859" xr:uid="{00000000-0005-0000-0000-000071010000}"/>
    <cellStyle name="Comma 2 5 4 4" xfId="1430" xr:uid="{00000000-0005-0000-0000-0000B9000000}"/>
    <cellStyle name="Comma 2 5 5" xfId="685" xr:uid="{00000000-0005-0000-0000-0000A2000000}"/>
    <cellStyle name="Comma 2 5 5 2" xfId="1672" xr:uid="{00000000-0005-0000-0000-0000B9000000}"/>
    <cellStyle name="Comma 2 5 5 3" xfId="1317" xr:uid="{00000000-0005-0000-0000-00008E000000}"/>
    <cellStyle name="Comma 2 5 6" xfId="928" xr:uid="{00000000-0005-0000-0000-0000A4000000}"/>
    <cellStyle name="Comma 2 5 6 2" xfId="1499" xr:uid="{00000000-0005-0000-0000-00008E000000}"/>
    <cellStyle name="Comma 2 5 7" xfId="1184" xr:uid="{00000000-0005-0000-0000-0000A1000000}"/>
    <cellStyle name="Comma 2 6" xfId="141" xr:uid="{00000000-0005-0000-0000-0000A6000000}"/>
    <cellStyle name="Comma 2 7" xfId="142" xr:uid="{00000000-0005-0000-0000-0000A7000000}"/>
    <cellStyle name="Comma 2 8" xfId="130" xr:uid="{00000000-0005-0000-0000-0000A8000000}"/>
    <cellStyle name="Comma 2 9" xfId="1319" xr:uid="{00000000-0005-0000-0000-000093000000}"/>
    <cellStyle name="Comma 20" xfId="580" xr:uid="{B8F695CE-54F0-4D5A-8784-82265E5DC8CC}"/>
    <cellStyle name="Comma 21" xfId="673" xr:uid="{71F9913A-B3D4-4FA9-857E-7357ABF15D44}"/>
    <cellStyle name="Comma 22" xfId="578" xr:uid="{E2830F6D-ECE5-4847-8AFF-E021DA561FAE}"/>
    <cellStyle name="Comma 23" xfId="547" xr:uid="{5DC6821E-A895-488A-A9E6-536A398D64AE}"/>
    <cellStyle name="Comma 24" xfId="675" xr:uid="{00000000-0005-0000-0000-0000CF020000}"/>
    <cellStyle name="Comma 25" xfId="918" xr:uid="{00000000-0005-0000-0000-0000C3030000}"/>
    <cellStyle name="Comma 26" xfId="950" xr:uid="{00000000-0005-0000-0000-000041040000}"/>
    <cellStyle name="Comma 27" xfId="1046" xr:uid="{00000000-0005-0000-0000-000042040000}"/>
    <cellStyle name="Comma 28" xfId="947" xr:uid="{00000000-0005-0000-0000-000043040000}"/>
    <cellStyle name="Comma 29" xfId="1047" xr:uid="{00000000-0005-0000-0000-00004404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2 2 2" xfId="652" xr:uid="{2213C432-91FD-4B49-BEC0-B36CED708A28}"/>
    <cellStyle name="Comma 3 2 2 2 2 2" xfId="898" xr:uid="{2213C432-91FD-4B49-BEC0-B36CED708A28}"/>
    <cellStyle name="Comma 3 2 2 2 2 2 2" xfId="1768" xr:uid="{00000000-0005-0000-0000-000086010000}"/>
    <cellStyle name="Comma 3 2 2 2 2 3" xfId="1149" xr:uid="{2213C432-91FD-4B49-BEC0-B36CED708A28}"/>
    <cellStyle name="Comma 3 2 2 2 2 3 2" xfId="1951" xr:uid="{00000000-0005-0000-0000-000087010000}"/>
    <cellStyle name="Comma 3 2 2 2 2 4" xfId="1402" xr:uid="{00000000-0005-0000-0000-0000F5010000}"/>
    <cellStyle name="Comma 3 2 2 2 3" xfId="777" xr:uid="{00000000-0005-0000-0000-0000AC000000}"/>
    <cellStyle name="Comma 3 2 2 2 3 2" xfId="1583" xr:uid="{00000000-0005-0000-0000-0000F5010000}"/>
    <cellStyle name="Comma 3 2 2 2 4" xfId="1022" xr:uid="{00000000-0005-0000-0000-0000AE000000}"/>
    <cellStyle name="Comma 3 2 2 2 4 2" xfId="1830" xr:uid="{00000000-0005-0000-0000-000089010000}"/>
    <cellStyle name="Comma 3 2 2 2 5" xfId="1279" xr:uid="{00000000-0005-0000-0000-0000AB000000}"/>
    <cellStyle name="Comma 3 2 2 3" xfId="592" xr:uid="{B13045F6-3553-4934-9785-4980736C0291}"/>
    <cellStyle name="Comma 3 2 2 3 2" xfId="838" xr:uid="{B13045F6-3553-4934-9785-4980736C0291}"/>
    <cellStyle name="Comma 3 2 2 3 2 2" xfId="1643" xr:uid="{00000000-0005-0000-0000-0000F5010000}"/>
    <cellStyle name="Comma 3 2 2 3 3" xfId="1089" xr:uid="{B13045F6-3553-4934-9785-4980736C0291}"/>
    <cellStyle name="Comma 3 2 2 3 3 2" xfId="1891" xr:uid="{00000000-0005-0000-0000-00008C010000}"/>
    <cellStyle name="Comma 3 2 2 3 4" xfId="1462" xr:uid="{00000000-0005-0000-0000-0000F5010000}"/>
    <cellStyle name="Comma 3 2 2 4" xfId="717" xr:uid="{00000000-0005-0000-0000-0000AB000000}"/>
    <cellStyle name="Comma 3 2 2 4 2" xfId="1704" xr:uid="{00000000-0005-0000-0000-0000F5010000}"/>
    <cellStyle name="Comma 3 2 2 4 3" xfId="1322" xr:uid="{00000000-0005-0000-0000-000096000000}"/>
    <cellStyle name="Comma 3 2 2 5" xfId="962" xr:uid="{00000000-0005-0000-0000-0000AD000000}"/>
    <cellStyle name="Comma 3 2 2 5 2" xfId="1503" xr:uid="{00000000-0005-0000-0000-000096000000}"/>
    <cellStyle name="Comma 3 2 2 6" xfId="1219" xr:uid="{00000000-0005-0000-0000-0000AA000000}"/>
    <cellStyle name="Comma 3 2 3" xfId="489" xr:uid="{00000000-0005-0000-0000-0000AD000000}"/>
    <cellStyle name="Comma 3 2 3 2" xfId="622" xr:uid="{32F74F88-5A39-4FB9-80E9-4E782CE58DB8}"/>
    <cellStyle name="Comma 3 2 3 2 2" xfId="868" xr:uid="{32F74F88-5A39-4FB9-80E9-4E782CE58DB8}"/>
    <cellStyle name="Comma 3 2 3 2 2 2" xfId="1738" xr:uid="{00000000-0005-0000-0000-000091010000}"/>
    <cellStyle name="Comma 3 2 3 2 3" xfId="1119" xr:uid="{32F74F88-5A39-4FB9-80E9-4E782CE58DB8}"/>
    <cellStyle name="Comma 3 2 3 2 3 2" xfId="1921" xr:uid="{00000000-0005-0000-0000-000092010000}"/>
    <cellStyle name="Comma 3 2 3 2 4" xfId="1372" xr:uid="{00000000-0005-0000-0000-0000BD000000}"/>
    <cellStyle name="Comma 3 2 3 3" xfId="747" xr:uid="{00000000-0005-0000-0000-0000AD000000}"/>
    <cellStyle name="Comma 3 2 3 3 2" xfId="1553" xr:uid="{00000000-0005-0000-0000-0000BD000000}"/>
    <cellStyle name="Comma 3 2 3 4" xfId="992" xr:uid="{00000000-0005-0000-0000-0000AF000000}"/>
    <cellStyle name="Comma 3 2 3 4 2" xfId="1800" xr:uid="{00000000-0005-0000-0000-000094010000}"/>
    <cellStyle name="Comma 3 2 3 5" xfId="1249" xr:uid="{00000000-0005-0000-0000-0000AC000000}"/>
    <cellStyle name="Comma 3 2 4" xfId="559" xr:uid="{46563ED0-CBC0-4174-98A2-C106EB26A195}"/>
    <cellStyle name="Comma 3 2 4 2" xfId="808" xr:uid="{46563ED0-CBC0-4174-98A2-C106EB26A195}"/>
    <cellStyle name="Comma 3 2 4 2 2" xfId="1613" xr:uid="{00000000-0005-0000-0000-0000BD000000}"/>
    <cellStyle name="Comma 3 2 4 3" xfId="1059" xr:uid="{46563ED0-CBC0-4174-98A2-C106EB26A195}"/>
    <cellStyle name="Comma 3 2 4 3 2" xfId="1861" xr:uid="{00000000-0005-0000-0000-000097010000}"/>
    <cellStyle name="Comma 3 2 4 4" xfId="1432" xr:uid="{00000000-0005-0000-0000-0000BD000000}"/>
    <cellStyle name="Comma 3 2 5" xfId="687" xr:uid="{00000000-0005-0000-0000-0000AA000000}"/>
    <cellStyle name="Comma 3 2 5 2" xfId="1674" xr:uid="{00000000-0005-0000-0000-0000BD000000}"/>
    <cellStyle name="Comma 3 2 5 3" xfId="1321" xr:uid="{00000000-0005-0000-0000-000095000000}"/>
    <cellStyle name="Comma 3 2 6" xfId="930" xr:uid="{00000000-0005-0000-0000-0000AC000000}"/>
    <cellStyle name="Comma 3 2 6 2" xfId="1502" xr:uid="{00000000-0005-0000-0000-000095000000}"/>
    <cellStyle name="Comma 3 2 7" xfId="1186" xr:uid="{00000000-0005-0000-0000-0000A9000000}"/>
    <cellStyle name="Comma 3 3" xfId="456" xr:uid="{00000000-0005-0000-0000-0000AE000000}"/>
    <cellStyle name="Comma 3 3 2" xfId="521" xr:uid="{00000000-0005-0000-0000-0000AF000000}"/>
    <cellStyle name="Comma 3 3 2 2" xfId="651" xr:uid="{1CBB5703-60C9-4CB5-B6D3-D32E13633F66}"/>
    <cellStyle name="Comma 3 3 2 2 2" xfId="897" xr:uid="{1CBB5703-60C9-4CB5-B6D3-D32E13633F66}"/>
    <cellStyle name="Comma 3 3 2 2 2 2" xfId="1767" xr:uid="{00000000-0005-0000-0000-00009D010000}"/>
    <cellStyle name="Comma 3 3 2 2 3" xfId="1148" xr:uid="{1CBB5703-60C9-4CB5-B6D3-D32E13633F66}"/>
    <cellStyle name="Comma 3 3 2 2 3 2" xfId="1950" xr:uid="{00000000-0005-0000-0000-00009E010000}"/>
    <cellStyle name="Comma 3 3 2 2 4" xfId="1401" xr:uid="{00000000-0005-0000-0000-0000F4010000}"/>
    <cellStyle name="Comma 3 3 2 3" xfId="776" xr:uid="{00000000-0005-0000-0000-0000AF000000}"/>
    <cellStyle name="Comma 3 3 2 3 2" xfId="1582" xr:uid="{00000000-0005-0000-0000-0000F4010000}"/>
    <cellStyle name="Comma 3 3 2 4" xfId="1021" xr:uid="{00000000-0005-0000-0000-0000B1000000}"/>
    <cellStyle name="Comma 3 3 2 4 2" xfId="1829" xr:uid="{00000000-0005-0000-0000-0000A0010000}"/>
    <cellStyle name="Comma 3 3 2 5" xfId="1278" xr:uid="{00000000-0005-0000-0000-0000AE000000}"/>
    <cellStyle name="Comma 3 3 3" xfId="591" xr:uid="{4C1957EE-845F-4A62-9C59-A0768FDC386C}"/>
    <cellStyle name="Comma 3 3 3 2" xfId="837" xr:uid="{4C1957EE-845F-4A62-9C59-A0768FDC386C}"/>
    <cellStyle name="Comma 3 3 3 2 2" xfId="1642" xr:uid="{00000000-0005-0000-0000-0000F4010000}"/>
    <cellStyle name="Comma 3 3 3 3" xfId="1088" xr:uid="{4C1957EE-845F-4A62-9C59-A0768FDC386C}"/>
    <cellStyle name="Comma 3 3 3 3 2" xfId="1890" xr:uid="{00000000-0005-0000-0000-0000A3010000}"/>
    <cellStyle name="Comma 3 3 3 4" xfId="1461" xr:uid="{00000000-0005-0000-0000-0000F4010000}"/>
    <cellStyle name="Comma 3 3 4" xfId="716" xr:uid="{00000000-0005-0000-0000-0000AE000000}"/>
    <cellStyle name="Comma 3 3 4 2" xfId="1703" xr:uid="{00000000-0005-0000-0000-0000F4010000}"/>
    <cellStyle name="Comma 3 3 4 3" xfId="1323" xr:uid="{00000000-0005-0000-0000-000097000000}"/>
    <cellStyle name="Comma 3 3 5" xfId="961" xr:uid="{00000000-0005-0000-0000-0000B0000000}"/>
    <cellStyle name="Comma 3 3 5 2" xfId="1504" xr:uid="{00000000-0005-0000-0000-000097000000}"/>
    <cellStyle name="Comma 3 3 6" xfId="1218" xr:uid="{00000000-0005-0000-0000-0000AD000000}"/>
    <cellStyle name="Comma 3 4" xfId="488" xr:uid="{00000000-0005-0000-0000-0000B0000000}"/>
    <cellStyle name="Comma 3 4 2" xfId="621" xr:uid="{580FA279-E673-4FC7-B4D5-55B38969E2AF}"/>
    <cellStyle name="Comma 3 4 2 2" xfId="867" xr:uid="{580FA279-E673-4FC7-B4D5-55B38969E2AF}"/>
    <cellStyle name="Comma 3 4 2 2 2" xfId="1737" xr:uid="{00000000-0005-0000-0000-0000A8010000}"/>
    <cellStyle name="Comma 3 4 2 3" xfId="1118" xr:uid="{580FA279-E673-4FC7-B4D5-55B38969E2AF}"/>
    <cellStyle name="Comma 3 4 2 3 2" xfId="1920" xr:uid="{00000000-0005-0000-0000-0000A9010000}"/>
    <cellStyle name="Comma 3 4 2 4" xfId="1371" xr:uid="{00000000-0005-0000-0000-0000BC000000}"/>
    <cellStyle name="Comma 3 4 3" xfId="746" xr:uid="{00000000-0005-0000-0000-0000B0000000}"/>
    <cellStyle name="Comma 3 4 3 2" xfId="1552" xr:uid="{00000000-0005-0000-0000-0000BC000000}"/>
    <cellStyle name="Comma 3 4 4" xfId="991" xr:uid="{00000000-0005-0000-0000-0000B2000000}"/>
    <cellStyle name="Comma 3 4 4 2" xfId="1799" xr:uid="{00000000-0005-0000-0000-0000AB010000}"/>
    <cellStyle name="Comma 3 4 5" xfId="1248" xr:uid="{00000000-0005-0000-0000-0000AF000000}"/>
    <cellStyle name="Comma 3 5" xfId="544" xr:uid="{00000000-0005-0000-0000-0000B1000000}"/>
    <cellStyle name="Comma 3 5 2" xfId="671" xr:uid="{CD9CBF9E-BDCC-4322-AFB8-D10143DE9190}"/>
    <cellStyle name="Comma 3 5 2 2" xfId="917" xr:uid="{CD9CBF9E-BDCC-4322-AFB8-D10143DE9190}"/>
    <cellStyle name="Comma 3 5 2 2 2" xfId="1787" xr:uid="{00000000-0005-0000-0000-0000AE010000}"/>
    <cellStyle name="Comma 3 5 2 3" xfId="1168" xr:uid="{CD9CBF9E-BDCC-4322-AFB8-D10143DE9190}"/>
    <cellStyle name="Comma 3 5 2 3 2" xfId="1970" xr:uid="{00000000-0005-0000-0000-0000AF010000}"/>
    <cellStyle name="Comma 3 5 2 4" xfId="1612" xr:uid="{00000000-0005-0000-0000-0000BC000000}"/>
    <cellStyle name="Comma 3 5 3" xfId="796" xr:uid="{00000000-0005-0000-0000-0000B1000000}"/>
    <cellStyle name="Comma 3 5 3 2" xfId="1726" xr:uid="{00000000-0005-0000-0000-0000B0010000}"/>
    <cellStyle name="Comma 3 5 4" xfId="1041" xr:uid="{00000000-0005-0000-0000-0000B3000000}"/>
    <cellStyle name="Comma 3 5 4 2" xfId="1849" xr:uid="{00000000-0005-0000-0000-0000B1010000}"/>
    <cellStyle name="Comma 3 5 5" xfId="1431" xr:uid="{00000000-0005-0000-0000-0000BC000000}"/>
    <cellStyle name="Comma 3 6" xfId="558" xr:uid="{62D48FBF-C84B-44C1-B507-9413BEADD295}"/>
    <cellStyle name="Comma 3 6 2" xfId="807" xr:uid="{62D48FBF-C84B-44C1-B507-9413BEADD295}"/>
    <cellStyle name="Comma 3 6 2 2" xfId="1673" xr:uid="{00000000-0005-0000-0000-0000BC000000}"/>
    <cellStyle name="Comma 3 6 3" xfId="1058" xr:uid="{62D48FBF-C84B-44C1-B507-9413BEADD295}"/>
    <cellStyle name="Comma 3 6 3 2" xfId="1860" xr:uid="{00000000-0005-0000-0000-0000B4010000}"/>
    <cellStyle name="Comma 3 6 4" xfId="1320" xr:uid="{00000000-0005-0000-0000-000094000000}"/>
    <cellStyle name="Comma 3 7" xfId="686" xr:uid="{00000000-0005-0000-0000-0000A9000000}"/>
    <cellStyle name="Comma 3 7 2" xfId="1501" xr:uid="{00000000-0005-0000-0000-000094000000}"/>
    <cellStyle name="Comma 3 8" xfId="929" xr:uid="{00000000-0005-0000-0000-0000AB000000}"/>
    <cellStyle name="Comma 3 8 2" xfId="1788" xr:uid="{00000000-0005-0000-0000-0000B6010000}"/>
    <cellStyle name="Comma 3 9" xfId="1185" xr:uid="{00000000-0005-0000-0000-0000A8000000}"/>
    <cellStyle name="Comma 30" xfId="1174" xr:uid="{00000000-0005-0000-0000-0000C2040000}"/>
    <cellStyle name="Comma 31" xfId="1206" xr:uid="{00000000-0005-0000-0000-0000E5060000}"/>
    <cellStyle name="Comma 32" xfId="1723" xr:uid="{00000000-0005-0000-0000-0000DD070000}"/>
    <cellStyle name="Comma 33" xfId="1725" xr:uid="{00000000-0005-0000-0000-0000DF07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2 2 2" xfId="654" xr:uid="{CDE32440-C902-42AD-9BB0-20511EFBA9EC}"/>
    <cellStyle name="Comma 4 3 2 2 2 2" xfId="900" xr:uid="{CDE32440-C902-42AD-9BB0-20511EFBA9EC}"/>
    <cellStyle name="Comma 4 3 2 2 2 2 2" xfId="1770" xr:uid="{00000000-0005-0000-0000-0000C2010000}"/>
    <cellStyle name="Comma 4 3 2 2 2 3" xfId="1151" xr:uid="{CDE32440-C902-42AD-9BB0-20511EFBA9EC}"/>
    <cellStyle name="Comma 4 3 2 2 2 3 2" xfId="1953" xr:uid="{00000000-0005-0000-0000-0000C3010000}"/>
    <cellStyle name="Comma 4 3 2 2 2 4" xfId="1404" xr:uid="{00000000-0005-0000-0000-0000F7010000}"/>
    <cellStyle name="Comma 4 3 2 2 3" xfId="779" xr:uid="{00000000-0005-0000-0000-0000BB000000}"/>
    <cellStyle name="Comma 4 3 2 2 3 2" xfId="1585" xr:uid="{00000000-0005-0000-0000-0000F7010000}"/>
    <cellStyle name="Comma 4 3 2 2 4" xfId="1024" xr:uid="{00000000-0005-0000-0000-0000BD000000}"/>
    <cellStyle name="Comma 4 3 2 2 4 2" xfId="1832" xr:uid="{00000000-0005-0000-0000-0000C5010000}"/>
    <cellStyle name="Comma 4 3 2 2 5" xfId="1281" xr:uid="{00000000-0005-0000-0000-0000B9000000}"/>
    <cellStyle name="Comma 4 3 2 3" xfId="594" xr:uid="{CD07353E-D74C-48B6-B1B2-D80C3551CF86}"/>
    <cellStyle name="Comma 4 3 2 3 2" xfId="840" xr:uid="{CD07353E-D74C-48B6-B1B2-D80C3551CF86}"/>
    <cellStyle name="Comma 4 3 2 3 2 2" xfId="1645" xr:uid="{00000000-0005-0000-0000-0000F7010000}"/>
    <cellStyle name="Comma 4 3 2 3 3" xfId="1091" xr:uid="{CD07353E-D74C-48B6-B1B2-D80C3551CF86}"/>
    <cellStyle name="Comma 4 3 2 3 3 2" xfId="1893" xr:uid="{00000000-0005-0000-0000-0000C8010000}"/>
    <cellStyle name="Comma 4 3 2 3 4" xfId="1464" xr:uid="{00000000-0005-0000-0000-0000F7010000}"/>
    <cellStyle name="Comma 4 3 2 4" xfId="719" xr:uid="{00000000-0005-0000-0000-0000BA000000}"/>
    <cellStyle name="Comma 4 3 2 4 2" xfId="1706" xr:uid="{00000000-0005-0000-0000-0000F7010000}"/>
    <cellStyle name="Comma 4 3 2 4 3" xfId="1326" xr:uid="{00000000-0005-0000-0000-0000A0000000}"/>
    <cellStyle name="Comma 4 3 2 5" xfId="964" xr:uid="{00000000-0005-0000-0000-0000BC000000}"/>
    <cellStyle name="Comma 4 3 2 5 2" xfId="1507" xr:uid="{00000000-0005-0000-0000-0000A0000000}"/>
    <cellStyle name="Comma 4 3 2 6" xfId="1221" xr:uid="{00000000-0005-0000-0000-0000B8000000}"/>
    <cellStyle name="Comma 4 3 3" xfId="491" xr:uid="{00000000-0005-0000-0000-0000BC000000}"/>
    <cellStyle name="Comma 4 3 3 2" xfId="624" xr:uid="{8D073470-3C3D-4266-B90B-4A4FA55DB738}"/>
    <cellStyle name="Comma 4 3 3 2 2" xfId="870" xr:uid="{8D073470-3C3D-4266-B90B-4A4FA55DB738}"/>
    <cellStyle name="Comma 4 3 3 2 2 2" xfId="1740" xr:uid="{00000000-0005-0000-0000-0000CD010000}"/>
    <cellStyle name="Comma 4 3 3 2 3" xfId="1121" xr:uid="{8D073470-3C3D-4266-B90B-4A4FA55DB738}"/>
    <cellStyle name="Comma 4 3 3 2 3 2" xfId="1923" xr:uid="{00000000-0005-0000-0000-0000CE010000}"/>
    <cellStyle name="Comma 4 3 3 2 4" xfId="1374" xr:uid="{00000000-0005-0000-0000-0000C5000000}"/>
    <cellStyle name="Comma 4 3 3 3" xfId="749" xr:uid="{00000000-0005-0000-0000-0000BC000000}"/>
    <cellStyle name="Comma 4 3 3 3 2" xfId="1555" xr:uid="{00000000-0005-0000-0000-0000C5000000}"/>
    <cellStyle name="Comma 4 3 3 4" xfId="994" xr:uid="{00000000-0005-0000-0000-0000BE000000}"/>
    <cellStyle name="Comma 4 3 3 4 2" xfId="1802" xr:uid="{00000000-0005-0000-0000-0000D0010000}"/>
    <cellStyle name="Comma 4 3 3 5" xfId="1251" xr:uid="{00000000-0005-0000-0000-0000BA000000}"/>
    <cellStyle name="Comma 4 3 4" xfId="561" xr:uid="{80878B37-E231-4D3C-8737-615A085F2E12}"/>
    <cellStyle name="Comma 4 3 4 2" xfId="810" xr:uid="{80878B37-E231-4D3C-8737-615A085F2E12}"/>
    <cellStyle name="Comma 4 3 4 2 2" xfId="1615" xr:uid="{00000000-0005-0000-0000-0000C5000000}"/>
    <cellStyle name="Comma 4 3 4 3" xfId="1061" xr:uid="{80878B37-E231-4D3C-8737-615A085F2E12}"/>
    <cellStyle name="Comma 4 3 4 3 2" xfId="1863" xr:uid="{00000000-0005-0000-0000-0000D3010000}"/>
    <cellStyle name="Comma 4 3 4 4" xfId="1434" xr:uid="{00000000-0005-0000-0000-0000C5000000}"/>
    <cellStyle name="Comma 4 3 5" xfId="689" xr:uid="{00000000-0005-0000-0000-0000B9000000}"/>
    <cellStyle name="Comma 4 3 5 2" xfId="1676" xr:uid="{00000000-0005-0000-0000-0000C5000000}"/>
    <cellStyle name="Comma 4 3 5 3" xfId="1325" xr:uid="{00000000-0005-0000-0000-00009F000000}"/>
    <cellStyle name="Comma 4 3 6" xfId="932" xr:uid="{00000000-0005-0000-0000-0000BB000000}"/>
    <cellStyle name="Comma 4 3 6 2" xfId="1506" xr:uid="{00000000-0005-0000-0000-00009F000000}"/>
    <cellStyle name="Comma 4 3 7" xfId="1188" xr:uid="{00000000-0005-0000-0000-0000B7000000}"/>
    <cellStyle name="Comma 4 4" xfId="458" xr:uid="{00000000-0005-0000-0000-0000BD000000}"/>
    <cellStyle name="Comma 4 4 2" xfId="523" xr:uid="{00000000-0005-0000-0000-0000BE000000}"/>
    <cellStyle name="Comma 4 4 2 2" xfId="653" xr:uid="{83FE25D6-21B7-4443-8B8F-1000DCE350ED}"/>
    <cellStyle name="Comma 4 4 2 2 2" xfId="899" xr:uid="{83FE25D6-21B7-4443-8B8F-1000DCE350ED}"/>
    <cellStyle name="Comma 4 4 2 2 2 2" xfId="1769" xr:uid="{00000000-0005-0000-0000-0000D9010000}"/>
    <cellStyle name="Comma 4 4 2 2 3" xfId="1150" xr:uid="{83FE25D6-21B7-4443-8B8F-1000DCE350ED}"/>
    <cellStyle name="Comma 4 4 2 2 3 2" xfId="1952" xr:uid="{00000000-0005-0000-0000-0000DA010000}"/>
    <cellStyle name="Comma 4 4 2 2 4" xfId="1403" xr:uid="{00000000-0005-0000-0000-0000F6010000}"/>
    <cellStyle name="Comma 4 4 2 3" xfId="778" xr:uid="{00000000-0005-0000-0000-0000BE000000}"/>
    <cellStyle name="Comma 4 4 2 3 2" xfId="1584" xr:uid="{00000000-0005-0000-0000-0000F6010000}"/>
    <cellStyle name="Comma 4 4 2 4" xfId="1023" xr:uid="{00000000-0005-0000-0000-0000C0000000}"/>
    <cellStyle name="Comma 4 4 2 4 2" xfId="1831" xr:uid="{00000000-0005-0000-0000-0000DC010000}"/>
    <cellStyle name="Comma 4 4 2 5" xfId="1280" xr:uid="{00000000-0005-0000-0000-0000BC000000}"/>
    <cellStyle name="Comma 4 4 3" xfId="593" xr:uid="{1F29CBCE-30C3-4F83-9536-1CD933B7BB41}"/>
    <cellStyle name="Comma 4 4 3 2" xfId="839" xr:uid="{1F29CBCE-30C3-4F83-9536-1CD933B7BB41}"/>
    <cellStyle name="Comma 4 4 3 2 2" xfId="1644" xr:uid="{00000000-0005-0000-0000-0000F6010000}"/>
    <cellStyle name="Comma 4 4 3 3" xfId="1090" xr:uid="{1F29CBCE-30C3-4F83-9536-1CD933B7BB41}"/>
    <cellStyle name="Comma 4 4 3 3 2" xfId="1892" xr:uid="{00000000-0005-0000-0000-0000DF010000}"/>
    <cellStyle name="Comma 4 4 3 4" xfId="1463" xr:uid="{00000000-0005-0000-0000-0000F6010000}"/>
    <cellStyle name="Comma 4 4 4" xfId="718" xr:uid="{00000000-0005-0000-0000-0000BD000000}"/>
    <cellStyle name="Comma 4 4 4 2" xfId="1705" xr:uid="{00000000-0005-0000-0000-0000F6010000}"/>
    <cellStyle name="Comma 4 4 4 3" xfId="1327" xr:uid="{00000000-0005-0000-0000-0000A1000000}"/>
    <cellStyle name="Comma 4 4 5" xfId="963" xr:uid="{00000000-0005-0000-0000-0000BF000000}"/>
    <cellStyle name="Comma 4 4 5 2" xfId="1508" xr:uid="{00000000-0005-0000-0000-0000A1000000}"/>
    <cellStyle name="Comma 4 4 6" xfId="1220" xr:uid="{00000000-0005-0000-0000-0000BB000000}"/>
    <cellStyle name="Comma 4 5" xfId="490" xr:uid="{00000000-0005-0000-0000-0000BF000000}"/>
    <cellStyle name="Comma 4 5 2" xfId="623" xr:uid="{20954413-32E4-470B-909B-4E5C5CE6396C}"/>
    <cellStyle name="Comma 4 5 2 2" xfId="869" xr:uid="{20954413-32E4-470B-909B-4E5C5CE6396C}"/>
    <cellStyle name="Comma 4 5 2 2 2" xfId="1739" xr:uid="{00000000-0005-0000-0000-0000E4010000}"/>
    <cellStyle name="Comma 4 5 2 3" xfId="1120" xr:uid="{20954413-32E4-470B-909B-4E5C5CE6396C}"/>
    <cellStyle name="Comma 4 5 2 3 2" xfId="1922" xr:uid="{00000000-0005-0000-0000-0000E5010000}"/>
    <cellStyle name="Comma 4 5 2 4" xfId="1373" xr:uid="{00000000-0005-0000-0000-0000BE000000}"/>
    <cellStyle name="Comma 4 5 3" xfId="748" xr:uid="{00000000-0005-0000-0000-0000BF000000}"/>
    <cellStyle name="Comma 4 5 3 2" xfId="1554" xr:uid="{00000000-0005-0000-0000-0000BE000000}"/>
    <cellStyle name="Comma 4 5 4" xfId="993" xr:uid="{00000000-0005-0000-0000-0000C1000000}"/>
    <cellStyle name="Comma 4 5 4 2" xfId="1801" xr:uid="{00000000-0005-0000-0000-0000E7010000}"/>
    <cellStyle name="Comma 4 5 5" xfId="1250" xr:uid="{00000000-0005-0000-0000-0000BD000000}"/>
    <cellStyle name="Comma 4 6" xfId="560" xr:uid="{3170629B-735B-426D-8395-330B8C21D493}"/>
    <cellStyle name="Comma 4 6 2" xfId="809" xr:uid="{3170629B-735B-426D-8395-330B8C21D493}"/>
    <cellStyle name="Comma 4 6 2 2" xfId="1614" xr:uid="{00000000-0005-0000-0000-0000BE000000}"/>
    <cellStyle name="Comma 4 6 3" xfId="1060" xr:uid="{3170629B-735B-426D-8395-330B8C21D493}"/>
    <cellStyle name="Comma 4 6 3 2" xfId="1862" xr:uid="{00000000-0005-0000-0000-0000EA010000}"/>
    <cellStyle name="Comma 4 6 4" xfId="1433" xr:uid="{00000000-0005-0000-0000-0000BE000000}"/>
    <cellStyle name="Comma 4 7" xfId="688" xr:uid="{00000000-0005-0000-0000-0000B2000000}"/>
    <cellStyle name="Comma 4 7 2" xfId="1675" xr:uid="{00000000-0005-0000-0000-0000BE000000}"/>
    <cellStyle name="Comma 4 7 3" xfId="1324" xr:uid="{00000000-0005-0000-0000-000098000000}"/>
    <cellStyle name="Comma 4 8" xfId="931" xr:uid="{00000000-0005-0000-0000-0000B4000000}"/>
    <cellStyle name="Comma 4 8 2" xfId="1505" xr:uid="{00000000-0005-0000-0000-000098000000}"/>
    <cellStyle name="Comma 4 9" xfId="1187" xr:uid="{00000000-0005-0000-0000-0000B0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2 2 2" xfId="656" xr:uid="{284C1E24-E643-4FD8-BC16-C5210A20FF96}"/>
    <cellStyle name="Normal 10 2 2 2 2 2" xfId="902" xr:uid="{284C1E24-E643-4FD8-BC16-C5210A20FF96}"/>
    <cellStyle name="Normal 10 2 2 2 2 2 2" xfId="1772" xr:uid="{00000000-0005-0000-0000-00005F020000}"/>
    <cellStyle name="Normal 10 2 2 2 2 3" xfId="1153" xr:uid="{284C1E24-E643-4FD8-BC16-C5210A20FF96}"/>
    <cellStyle name="Normal 10 2 2 2 2 3 2" xfId="1955" xr:uid="{00000000-0005-0000-0000-000060020000}"/>
    <cellStyle name="Normal 10 2 2 2 2 4" xfId="1406" xr:uid="{00000000-0005-0000-0000-0000FB010000}"/>
    <cellStyle name="Normal 10 2 2 2 3" xfId="781" xr:uid="{00000000-0005-0000-0000-000030010000}"/>
    <cellStyle name="Normal 10 2 2 2 3 2" xfId="1587" xr:uid="{00000000-0005-0000-0000-0000FB010000}"/>
    <cellStyle name="Normal 10 2 2 2 4" xfId="1026" xr:uid="{00000000-0005-0000-0000-000030010000}"/>
    <cellStyle name="Normal 10 2 2 2 4 2" xfId="1834" xr:uid="{00000000-0005-0000-0000-000062020000}"/>
    <cellStyle name="Normal 10 2 2 2 5" xfId="1283" xr:uid="{00000000-0005-0000-0000-00002E010000}"/>
    <cellStyle name="Normal 10 2 2 3" xfId="596" xr:uid="{3C0AC02F-B088-49F6-BC22-22A9A500D8B0}"/>
    <cellStyle name="Normal 10 2 2 3 2" xfId="842" xr:uid="{3C0AC02F-B088-49F6-BC22-22A9A500D8B0}"/>
    <cellStyle name="Normal 10 2 2 3 2 2" xfId="1647" xr:uid="{00000000-0005-0000-0000-0000FB010000}"/>
    <cellStyle name="Normal 10 2 2 3 3" xfId="1093" xr:uid="{3C0AC02F-B088-49F6-BC22-22A9A500D8B0}"/>
    <cellStyle name="Normal 10 2 2 3 3 2" xfId="1895" xr:uid="{00000000-0005-0000-0000-000065020000}"/>
    <cellStyle name="Normal 10 2 2 3 4" xfId="1466" xr:uid="{00000000-0005-0000-0000-0000FB010000}"/>
    <cellStyle name="Normal 10 2 2 4" xfId="721" xr:uid="{00000000-0005-0000-0000-00002F010000}"/>
    <cellStyle name="Normal 10 2 2 4 2" xfId="1708" xr:uid="{00000000-0005-0000-0000-0000FB010000}"/>
    <cellStyle name="Normal 10 2 2 4 3" xfId="1330" xr:uid="{00000000-0005-0000-0000-00000F010000}"/>
    <cellStyle name="Normal 10 2 2 5" xfId="966" xr:uid="{00000000-0005-0000-0000-00002F010000}"/>
    <cellStyle name="Normal 10 2 2 5 2" xfId="1511" xr:uid="{00000000-0005-0000-0000-00000F010000}"/>
    <cellStyle name="Normal 10 2 2 6" xfId="1223" xr:uid="{00000000-0005-0000-0000-00002D010000}"/>
    <cellStyle name="Normal 10 2 3" xfId="493" xr:uid="{00000000-0005-0000-0000-000031010000}"/>
    <cellStyle name="Normal 10 2 3 2" xfId="626" xr:uid="{7511542D-029A-495B-A673-F9838824B4CB}"/>
    <cellStyle name="Normal 10 2 3 2 2" xfId="872" xr:uid="{7511542D-029A-495B-A673-F9838824B4CB}"/>
    <cellStyle name="Normal 10 2 3 2 2 2" xfId="1742" xr:uid="{00000000-0005-0000-0000-00006A020000}"/>
    <cellStyle name="Normal 10 2 3 2 3" xfId="1123" xr:uid="{7511542D-029A-495B-A673-F9838824B4CB}"/>
    <cellStyle name="Normal 10 2 3 2 3 2" xfId="1925" xr:uid="{00000000-0005-0000-0000-00006B020000}"/>
    <cellStyle name="Normal 10 2 3 2 4" xfId="1376" xr:uid="{00000000-0005-0000-0000-000030010000}"/>
    <cellStyle name="Normal 10 2 3 3" xfId="751" xr:uid="{00000000-0005-0000-0000-000031010000}"/>
    <cellStyle name="Normal 10 2 3 3 2" xfId="1557" xr:uid="{00000000-0005-0000-0000-000030010000}"/>
    <cellStyle name="Normal 10 2 3 4" xfId="996" xr:uid="{00000000-0005-0000-0000-000031010000}"/>
    <cellStyle name="Normal 10 2 3 4 2" xfId="1804" xr:uid="{00000000-0005-0000-0000-00006D020000}"/>
    <cellStyle name="Normal 10 2 3 5" xfId="1253" xr:uid="{00000000-0005-0000-0000-00002F010000}"/>
    <cellStyle name="Normal 10 2 4" xfId="563" xr:uid="{A2156C16-500A-455B-A404-289D406C391D}"/>
    <cellStyle name="Normal 10 2 4 2" xfId="812" xr:uid="{A2156C16-500A-455B-A404-289D406C391D}"/>
    <cellStyle name="Normal 10 2 4 2 2" xfId="1617" xr:uid="{00000000-0005-0000-0000-000030010000}"/>
    <cellStyle name="Normal 10 2 4 3" xfId="1063" xr:uid="{A2156C16-500A-455B-A404-289D406C391D}"/>
    <cellStyle name="Normal 10 2 4 3 2" xfId="1865" xr:uid="{00000000-0005-0000-0000-000070020000}"/>
    <cellStyle name="Normal 10 2 4 4" xfId="1436" xr:uid="{00000000-0005-0000-0000-000030010000}"/>
    <cellStyle name="Normal 10 2 5" xfId="691" xr:uid="{00000000-0005-0000-0000-00002E010000}"/>
    <cellStyle name="Normal 10 2 5 2" xfId="1678" xr:uid="{00000000-0005-0000-0000-000030010000}"/>
    <cellStyle name="Normal 10 2 5 3" xfId="1329" xr:uid="{00000000-0005-0000-0000-00000E010000}"/>
    <cellStyle name="Normal 10 2 6" xfId="934" xr:uid="{00000000-0005-0000-0000-00002E010000}"/>
    <cellStyle name="Normal 10 2 6 2" xfId="1510" xr:uid="{00000000-0005-0000-0000-00000E010000}"/>
    <cellStyle name="Normal 10 2 7" xfId="1191" xr:uid="{00000000-0005-0000-0000-00002C010000}"/>
    <cellStyle name="Normal 10 3" xfId="260" xr:uid="{00000000-0005-0000-0000-000032010000}"/>
    <cellStyle name="Normal 10 4" xfId="461" xr:uid="{00000000-0005-0000-0000-000033010000}"/>
    <cellStyle name="Normal 10 4 2" xfId="525" xr:uid="{00000000-0005-0000-0000-000034010000}"/>
    <cellStyle name="Normal 10 4 2 2" xfId="655" xr:uid="{04311D58-C539-46B6-B2B7-3399E8CF140E}"/>
    <cellStyle name="Normal 10 4 2 2 2" xfId="901" xr:uid="{04311D58-C539-46B6-B2B7-3399E8CF140E}"/>
    <cellStyle name="Normal 10 4 2 2 2 2" xfId="1771" xr:uid="{00000000-0005-0000-0000-000077020000}"/>
    <cellStyle name="Normal 10 4 2 2 3" xfId="1152" xr:uid="{04311D58-C539-46B6-B2B7-3399E8CF140E}"/>
    <cellStyle name="Normal 10 4 2 2 3 2" xfId="1954" xr:uid="{00000000-0005-0000-0000-000078020000}"/>
    <cellStyle name="Normal 10 4 2 2 4" xfId="1405" xr:uid="{00000000-0005-0000-0000-0000FA010000}"/>
    <cellStyle name="Normal 10 4 2 3" xfId="780" xr:uid="{00000000-0005-0000-0000-000034010000}"/>
    <cellStyle name="Normal 10 4 2 3 2" xfId="1586" xr:uid="{00000000-0005-0000-0000-0000FA010000}"/>
    <cellStyle name="Normal 10 4 2 4" xfId="1025" xr:uid="{00000000-0005-0000-0000-000034010000}"/>
    <cellStyle name="Normal 10 4 2 4 2" xfId="1833" xr:uid="{00000000-0005-0000-0000-00007A020000}"/>
    <cellStyle name="Normal 10 4 2 5" xfId="1282" xr:uid="{00000000-0005-0000-0000-000032010000}"/>
    <cellStyle name="Normal 10 4 3" xfId="595" xr:uid="{BFB14430-1769-411C-A18C-95FFD6FB2926}"/>
    <cellStyle name="Normal 10 4 3 2" xfId="841" xr:uid="{BFB14430-1769-411C-A18C-95FFD6FB2926}"/>
    <cellStyle name="Normal 10 4 3 2 2" xfId="1646" xr:uid="{00000000-0005-0000-0000-0000FA010000}"/>
    <cellStyle name="Normal 10 4 3 3" xfId="1092" xr:uid="{BFB14430-1769-411C-A18C-95FFD6FB2926}"/>
    <cellStyle name="Normal 10 4 3 3 2" xfId="1894" xr:uid="{00000000-0005-0000-0000-00007D020000}"/>
    <cellStyle name="Normal 10 4 3 4" xfId="1465" xr:uid="{00000000-0005-0000-0000-0000FA010000}"/>
    <cellStyle name="Normal 10 4 4" xfId="720" xr:uid="{00000000-0005-0000-0000-000033010000}"/>
    <cellStyle name="Normal 10 4 4 2" xfId="1707" xr:uid="{00000000-0005-0000-0000-0000FA010000}"/>
    <cellStyle name="Normal 10 4 4 3" xfId="1331" xr:uid="{00000000-0005-0000-0000-000011010000}"/>
    <cellStyle name="Normal 10 4 5" xfId="965" xr:uid="{00000000-0005-0000-0000-000033010000}"/>
    <cellStyle name="Normal 10 4 5 2" xfId="1512" xr:uid="{00000000-0005-0000-0000-000011010000}"/>
    <cellStyle name="Normal 10 4 6" xfId="1222" xr:uid="{00000000-0005-0000-0000-000031010000}"/>
    <cellStyle name="Normal 10 5" xfId="492" xr:uid="{00000000-0005-0000-0000-000035010000}"/>
    <cellStyle name="Normal 10 5 2" xfId="625" xr:uid="{A70ADEE3-F659-4987-9F16-215F849D72E4}"/>
    <cellStyle name="Normal 10 5 2 2" xfId="871" xr:uid="{A70ADEE3-F659-4987-9F16-215F849D72E4}"/>
    <cellStyle name="Normal 10 5 2 2 2" xfId="1741" xr:uid="{00000000-0005-0000-0000-000082020000}"/>
    <cellStyle name="Normal 10 5 2 3" xfId="1122" xr:uid="{A70ADEE3-F659-4987-9F16-215F849D72E4}"/>
    <cellStyle name="Normal 10 5 2 3 2" xfId="1924" xr:uid="{00000000-0005-0000-0000-000083020000}"/>
    <cellStyle name="Normal 10 5 2 4" xfId="1375" xr:uid="{00000000-0005-0000-0000-00002F010000}"/>
    <cellStyle name="Normal 10 5 3" xfId="750" xr:uid="{00000000-0005-0000-0000-000035010000}"/>
    <cellStyle name="Normal 10 5 3 2" xfId="1556" xr:uid="{00000000-0005-0000-0000-00002F010000}"/>
    <cellStyle name="Normal 10 5 4" xfId="995" xr:uid="{00000000-0005-0000-0000-000035010000}"/>
    <cellStyle name="Normal 10 5 4 2" xfId="1803" xr:uid="{00000000-0005-0000-0000-000085020000}"/>
    <cellStyle name="Normal 10 5 5" xfId="1252" xr:uid="{00000000-0005-0000-0000-000033010000}"/>
    <cellStyle name="Normal 10 6" xfId="562" xr:uid="{1081D741-B25F-40F8-B49F-6341E3A41F8C}"/>
    <cellStyle name="Normal 10 6 2" xfId="811" xr:uid="{1081D741-B25F-40F8-B49F-6341E3A41F8C}"/>
    <cellStyle name="Normal 10 6 2 2" xfId="1616" xr:uid="{00000000-0005-0000-0000-00002F010000}"/>
    <cellStyle name="Normal 10 6 3" xfId="1062" xr:uid="{1081D741-B25F-40F8-B49F-6341E3A41F8C}"/>
    <cellStyle name="Normal 10 6 3 2" xfId="1864" xr:uid="{00000000-0005-0000-0000-000088020000}"/>
    <cellStyle name="Normal 10 6 4" xfId="1435" xr:uid="{00000000-0005-0000-0000-00002F010000}"/>
    <cellStyle name="Normal 10 7" xfId="690" xr:uid="{00000000-0005-0000-0000-00002D010000}"/>
    <cellStyle name="Normal 10 7 2" xfId="1677" xr:uid="{00000000-0005-0000-0000-00002F010000}"/>
    <cellStyle name="Normal 10 7 3" xfId="1328" xr:uid="{00000000-0005-0000-0000-00000D010000}"/>
    <cellStyle name="Normal 10 8" xfId="933" xr:uid="{00000000-0005-0000-0000-00002D010000}"/>
    <cellStyle name="Normal 10 8 2" xfId="1509" xr:uid="{00000000-0005-0000-0000-00000D010000}"/>
    <cellStyle name="Normal 10 9" xfId="1190" xr:uid="{00000000-0005-0000-0000-00002B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2 2 2" xfId="658" xr:uid="{C532950C-E7E2-4111-AB47-A7DAD222373F}"/>
    <cellStyle name="Normal 13 2 2 2 2 2" xfId="904" xr:uid="{C532950C-E7E2-4111-AB47-A7DAD222373F}"/>
    <cellStyle name="Normal 13 2 2 2 2 2 2" xfId="1774" xr:uid="{00000000-0005-0000-0000-000092020000}"/>
    <cellStyle name="Normal 13 2 2 2 2 3" xfId="1155" xr:uid="{C532950C-E7E2-4111-AB47-A7DAD222373F}"/>
    <cellStyle name="Normal 13 2 2 2 2 3 2" xfId="1957" xr:uid="{00000000-0005-0000-0000-000093020000}"/>
    <cellStyle name="Normal 13 2 2 2 2 4" xfId="1408" xr:uid="{00000000-0005-0000-0000-0000FD010000}"/>
    <cellStyle name="Normal 13 2 2 2 3" xfId="783" xr:uid="{00000000-0005-0000-0000-00003B010000}"/>
    <cellStyle name="Normal 13 2 2 2 3 2" xfId="1589" xr:uid="{00000000-0005-0000-0000-0000FD010000}"/>
    <cellStyle name="Normal 13 2 2 2 4" xfId="1028" xr:uid="{00000000-0005-0000-0000-00003B010000}"/>
    <cellStyle name="Normal 13 2 2 2 4 2" xfId="1836" xr:uid="{00000000-0005-0000-0000-000095020000}"/>
    <cellStyle name="Normal 13 2 2 2 5" xfId="1285" xr:uid="{00000000-0005-0000-0000-000039010000}"/>
    <cellStyle name="Normal 13 2 2 3" xfId="598" xr:uid="{DC27161B-FF11-400A-B451-11FEE83D0080}"/>
    <cellStyle name="Normal 13 2 2 3 2" xfId="844" xr:uid="{DC27161B-FF11-400A-B451-11FEE83D0080}"/>
    <cellStyle name="Normal 13 2 2 3 2 2" xfId="1649" xr:uid="{00000000-0005-0000-0000-0000FD010000}"/>
    <cellStyle name="Normal 13 2 2 3 3" xfId="1095" xr:uid="{DC27161B-FF11-400A-B451-11FEE83D0080}"/>
    <cellStyle name="Normal 13 2 2 3 3 2" xfId="1897" xr:uid="{00000000-0005-0000-0000-000098020000}"/>
    <cellStyle name="Normal 13 2 2 3 4" xfId="1468" xr:uid="{00000000-0005-0000-0000-0000FD010000}"/>
    <cellStyle name="Normal 13 2 2 4" xfId="723" xr:uid="{00000000-0005-0000-0000-00003A010000}"/>
    <cellStyle name="Normal 13 2 2 4 2" xfId="1710" xr:uid="{00000000-0005-0000-0000-0000FD010000}"/>
    <cellStyle name="Normal 13 2 2 4 3" xfId="1334" xr:uid="{00000000-0005-0000-0000-000016010000}"/>
    <cellStyle name="Normal 13 2 2 5" xfId="968" xr:uid="{00000000-0005-0000-0000-00003A010000}"/>
    <cellStyle name="Normal 13 2 2 5 2" xfId="1515" xr:uid="{00000000-0005-0000-0000-000016010000}"/>
    <cellStyle name="Normal 13 2 2 6" xfId="1225" xr:uid="{00000000-0005-0000-0000-000038010000}"/>
    <cellStyle name="Normal 13 2 3" xfId="495" xr:uid="{00000000-0005-0000-0000-00003C010000}"/>
    <cellStyle name="Normal 13 2 3 2" xfId="628" xr:uid="{8BB39922-54E3-4413-BE31-03570C31C491}"/>
    <cellStyle name="Normal 13 2 3 2 2" xfId="874" xr:uid="{8BB39922-54E3-4413-BE31-03570C31C491}"/>
    <cellStyle name="Normal 13 2 3 2 2 2" xfId="1744" xr:uid="{00000000-0005-0000-0000-00009D020000}"/>
    <cellStyle name="Normal 13 2 3 2 3" xfId="1125" xr:uid="{8BB39922-54E3-4413-BE31-03570C31C491}"/>
    <cellStyle name="Normal 13 2 3 2 3 2" xfId="1927" xr:uid="{00000000-0005-0000-0000-00009E020000}"/>
    <cellStyle name="Normal 13 2 3 2 4" xfId="1378" xr:uid="{00000000-0005-0000-0000-000035010000}"/>
    <cellStyle name="Normal 13 2 3 3" xfId="753" xr:uid="{00000000-0005-0000-0000-00003C010000}"/>
    <cellStyle name="Normal 13 2 3 3 2" xfId="1559" xr:uid="{00000000-0005-0000-0000-000035010000}"/>
    <cellStyle name="Normal 13 2 3 4" xfId="998" xr:uid="{00000000-0005-0000-0000-00003C010000}"/>
    <cellStyle name="Normal 13 2 3 4 2" xfId="1806" xr:uid="{00000000-0005-0000-0000-0000A0020000}"/>
    <cellStyle name="Normal 13 2 3 5" xfId="1255" xr:uid="{00000000-0005-0000-0000-00003A010000}"/>
    <cellStyle name="Normal 13 2 4" xfId="565" xr:uid="{F8B10301-04F0-410D-9068-1C32AC0E2EEC}"/>
    <cellStyle name="Normal 13 2 4 2" xfId="814" xr:uid="{F8B10301-04F0-410D-9068-1C32AC0E2EEC}"/>
    <cellStyle name="Normal 13 2 4 2 2" xfId="1619" xr:uid="{00000000-0005-0000-0000-000035010000}"/>
    <cellStyle name="Normal 13 2 4 3" xfId="1065" xr:uid="{F8B10301-04F0-410D-9068-1C32AC0E2EEC}"/>
    <cellStyle name="Normal 13 2 4 3 2" xfId="1867" xr:uid="{00000000-0005-0000-0000-0000A3020000}"/>
    <cellStyle name="Normal 13 2 4 4" xfId="1438" xr:uid="{00000000-0005-0000-0000-000035010000}"/>
    <cellStyle name="Normal 13 2 5" xfId="693" xr:uid="{00000000-0005-0000-0000-000039010000}"/>
    <cellStyle name="Normal 13 2 5 2" xfId="1680" xr:uid="{00000000-0005-0000-0000-000035010000}"/>
    <cellStyle name="Normal 13 2 5 3" xfId="1333" xr:uid="{00000000-0005-0000-0000-000015010000}"/>
    <cellStyle name="Normal 13 2 6" xfId="936" xr:uid="{00000000-0005-0000-0000-000039010000}"/>
    <cellStyle name="Normal 13 2 6 2" xfId="1514" xr:uid="{00000000-0005-0000-0000-000015010000}"/>
    <cellStyle name="Normal 13 2 7" xfId="1193" xr:uid="{00000000-0005-0000-0000-000037010000}"/>
    <cellStyle name="Normal 13 3" xfId="463" xr:uid="{00000000-0005-0000-0000-00003D010000}"/>
    <cellStyle name="Normal 13 3 2" xfId="527" xr:uid="{00000000-0005-0000-0000-00003E010000}"/>
    <cellStyle name="Normal 13 3 2 2" xfId="657" xr:uid="{EA9A62AD-355E-4F24-B85A-B3332542101D}"/>
    <cellStyle name="Normal 13 3 2 2 2" xfId="903" xr:uid="{EA9A62AD-355E-4F24-B85A-B3332542101D}"/>
    <cellStyle name="Normal 13 3 2 2 2 2" xfId="1773" xr:uid="{00000000-0005-0000-0000-0000A9020000}"/>
    <cellStyle name="Normal 13 3 2 2 3" xfId="1154" xr:uid="{EA9A62AD-355E-4F24-B85A-B3332542101D}"/>
    <cellStyle name="Normal 13 3 2 2 3 2" xfId="1956" xr:uid="{00000000-0005-0000-0000-0000AA020000}"/>
    <cellStyle name="Normal 13 3 2 2 4" xfId="1407" xr:uid="{00000000-0005-0000-0000-0000FC010000}"/>
    <cellStyle name="Normal 13 3 2 3" xfId="782" xr:uid="{00000000-0005-0000-0000-00003E010000}"/>
    <cellStyle name="Normal 13 3 2 3 2" xfId="1588" xr:uid="{00000000-0005-0000-0000-0000FC010000}"/>
    <cellStyle name="Normal 13 3 2 4" xfId="1027" xr:uid="{00000000-0005-0000-0000-00003E010000}"/>
    <cellStyle name="Normal 13 3 2 4 2" xfId="1835" xr:uid="{00000000-0005-0000-0000-0000AC020000}"/>
    <cellStyle name="Normal 13 3 2 5" xfId="1284" xr:uid="{00000000-0005-0000-0000-00003C010000}"/>
    <cellStyle name="Normal 13 3 3" xfId="597" xr:uid="{DFE52179-72B7-4FC4-8533-989AB4FFBC11}"/>
    <cellStyle name="Normal 13 3 3 2" xfId="843" xr:uid="{DFE52179-72B7-4FC4-8533-989AB4FFBC11}"/>
    <cellStyle name="Normal 13 3 3 2 2" xfId="1648" xr:uid="{00000000-0005-0000-0000-0000FC010000}"/>
    <cellStyle name="Normal 13 3 3 3" xfId="1094" xr:uid="{DFE52179-72B7-4FC4-8533-989AB4FFBC11}"/>
    <cellStyle name="Normal 13 3 3 3 2" xfId="1896" xr:uid="{00000000-0005-0000-0000-0000AF020000}"/>
    <cellStyle name="Normal 13 3 3 4" xfId="1467" xr:uid="{00000000-0005-0000-0000-0000FC010000}"/>
    <cellStyle name="Normal 13 3 4" xfId="722" xr:uid="{00000000-0005-0000-0000-00003D010000}"/>
    <cellStyle name="Normal 13 3 4 2" xfId="1709" xr:uid="{00000000-0005-0000-0000-0000FC010000}"/>
    <cellStyle name="Normal 13 3 4 3" xfId="1335" xr:uid="{00000000-0005-0000-0000-000017010000}"/>
    <cellStyle name="Normal 13 3 5" xfId="967" xr:uid="{00000000-0005-0000-0000-00003D010000}"/>
    <cellStyle name="Normal 13 3 5 2" xfId="1516" xr:uid="{00000000-0005-0000-0000-000017010000}"/>
    <cellStyle name="Normal 13 3 6" xfId="1224" xr:uid="{00000000-0005-0000-0000-00003B010000}"/>
    <cellStyle name="Normal 13 4" xfId="494" xr:uid="{00000000-0005-0000-0000-00003F010000}"/>
    <cellStyle name="Normal 13 4 2" xfId="627" xr:uid="{1452C376-C914-4C17-A3DA-AF512EFAEEAA}"/>
    <cellStyle name="Normal 13 4 2 2" xfId="873" xr:uid="{1452C376-C914-4C17-A3DA-AF512EFAEEAA}"/>
    <cellStyle name="Normal 13 4 2 2 2" xfId="1743" xr:uid="{00000000-0005-0000-0000-0000B4020000}"/>
    <cellStyle name="Normal 13 4 2 3" xfId="1124" xr:uid="{1452C376-C914-4C17-A3DA-AF512EFAEEAA}"/>
    <cellStyle name="Normal 13 4 2 3 2" xfId="1926" xr:uid="{00000000-0005-0000-0000-0000B5020000}"/>
    <cellStyle name="Normal 13 4 2 4" xfId="1377" xr:uid="{00000000-0005-0000-0000-000034010000}"/>
    <cellStyle name="Normal 13 4 3" xfId="752" xr:uid="{00000000-0005-0000-0000-00003F010000}"/>
    <cellStyle name="Normal 13 4 3 2" xfId="1558" xr:uid="{00000000-0005-0000-0000-000034010000}"/>
    <cellStyle name="Normal 13 4 4" xfId="997" xr:uid="{00000000-0005-0000-0000-00003F010000}"/>
    <cellStyle name="Normal 13 4 4 2" xfId="1805" xr:uid="{00000000-0005-0000-0000-0000B7020000}"/>
    <cellStyle name="Normal 13 4 5" xfId="1254" xr:uid="{00000000-0005-0000-0000-00003D010000}"/>
    <cellStyle name="Normal 13 5" xfId="564" xr:uid="{1244EC51-CA0E-4E13-8854-1FF1EB83AEA2}"/>
    <cellStyle name="Normal 13 5 2" xfId="813" xr:uid="{1244EC51-CA0E-4E13-8854-1FF1EB83AEA2}"/>
    <cellStyle name="Normal 13 5 2 2" xfId="1618" xr:uid="{00000000-0005-0000-0000-000034010000}"/>
    <cellStyle name="Normal 13 5 3" xfId="1064" xr:uid="{1244EC51-CA0E-4E13-8854-1FF1EB83AEA2}"/>
    <cellStyle name="Normal 13 5 3 2" xfId="1866" xr:uid="{00000000-0005-0000-0000-0000BA020000}"/>
    <cellStyle name="Normal 13 5 4" xfId="1437" xr:uid="{00000000-0005-0000-0000-000034010000}"/>
    <cellStyle name="Normal 13 6" xfId="692" xr:uid="{00000000-0005-0000-0000-000038010000}"/>
    <cellStyle name="Normal 13 6 2" xfId="1679" xr:uid="{00000000-0005-0000-0000-000034010000}"/>
    <cellStyle name="Normal 13 6 3" xfId="1332" xr:uid="{00000000-0005-0000-0000-000014010000}"/>
    <cellStyle name="Normal 13 7" xfId="935" xr:uid="{00000000-0005-0000-0000-000038010000}"/>
    <cellStyle name="Normal 13 7 2" xfId="1513" xr:uid="{00000000-0005-0000-0000-000014010000}"/>
    <cellStyle name="Normal 13 8" xfId="1192" xr:uid="{00000000-0005-0000-0000-000036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2 2 2" xfId="660" xr:uid="{E3568204-C477-41D2-BD62-01251E872DC5}"/>
    <cellStyle name="Normal 15 2 2 2 2 2" xfId="906" xr:uid="{E3568204-C477-41D2-BD62-01251E872DC5}"/>
    <cellStyle name="Normal 15 2 2 2 2 2 2" xfId="1776" xr:uid="{00000000-0005-0000-0000-0000C4020000}"/>
    <cellStyle name="Normal 15 2 2 2 2 3" xfId="1157" xr:uid="{E3568204-C477-41D2-BD62-01251E872DC5}"/>
    <cellStyle name="Normal 15 2 2 2 2 3 2" xfId="1959" xr:uid="{00000000-0005-0000-0000-0000C5020000}"/>
    <cellStyle name="Normal 15 2 2 2 2 4" xfId="1410" xr:uid="{00000000-0005-0000-0000-0000FF010000}"/>
    <cellStyle name="Normal 15 2 2 2 3" xfId="785" xr:uid="{00000000-0005-0000-0000-000045010000}"/>
    <cellStyle name="Normal 15 2 2 2 3 2" xfId="1591" xr:uid="{00000000-0005-0000-0000-0000FF010000}"/>
    <cellStyle name="Normal 15 2 2 2 4" xfId="1030" xr:uid="{00000000-0005-0000-0000-000045010000}"/>
    <cellStyle name="Normal 15 2 2 2 4 2" xfId="1838" xr:uid="{00000000-0005-0000-0000-0000C7020000}"/>
    <cellStyle name="Normal 15 2 2 2 5" xfId="1287" xr:uid="{00000000-0005-0000-0000-000043010000}"/>
    <cellStyle name="Normal 15 2 2 3" xfId="600" xr:uid="{BA39B726-F69E-4680-8EE5-73D3361D12F9}"/>
    <cellStyle name="Normal 15 2 2 3 2" xfId="846" xr:uid="{BA39B726-F69E-4680-8EE5-73D3361D12F9}"/>
    <cellStyle name="Normal 15 2 2 3 2 2" xfId="1651" xr:uid="{00000000-0005-0000-0000-0000FF010000}"/>
    <cellStyle name="Normal 15 2 2 3 3" xfId="1097" xr:uid="{BA39B726-F69E-4680-8EE5-73D3361D12F9}"/>
    <cellStyle name="Normal 15 2 2 3 3 2" xfId="1899" xr:uid="{00000000-0005-0000-0000-0000CA020000}"/>
    <cellStyle name="Normal 15 2 2 3 4" xfId="1470" xr:uid="{00000000-0005-0000-0000-0000FF010000}"/>
    <cellStyle name="Normal 15 2 2 4" xfId="725" xr:uid="{00000000-0005-0000-0000-000044010000}"/>
    <cellStyle name="Normal 15 2 2 4 2" xfId="1712" xr:uid="{00000000-0005-0000-0000-0000FF010000}"/>
    <cellStyle name="Normal 15 2 2 4 3" xfId="1338" xr:uid="{00000000-0005-0000-0000-00001B010000}"/>
    <cellStyle name="Normal 15 2 2 5" xfId="970" xr:uid="{00000000-0005-0000-0000-000044010000}"/>
    <cellStyle name="Normal 15 2 2 5 2" xfId="1519" xr:uid="{00000000-0005-0000-0000-00001B010000}"/>
    <cellStyle name="Normal 15 2 2 6" xfId="1227" xr:uid="{00000000-0005-0000-0000-000042010000}"/>
    <cellStyle name="Normal 15 2 3" xfId="498" xr:uid="{00000000-0005-0000-0000-000046010000}"/>
    <cellStyle name="Normal 15 2 3 2" xfId="630" xr:uid="{6F7A55EC-46A6-42DF-B5E4-8E96516255D9}"/>
    <cellStyle name="Normal 15 2 3 2 2" xfId="876" xr:uid="{6F7A55EC-46A6-42DF-B5E4-8E96516255D9}"/>
    <cellStyle name="Normal 15 2 3 2 2 2" xfId="1746" xr:uid="{00000000-0005-0000-0000-0000CF020000}"/>
    <cellStyle name="Normal 15 2 3 2 3" xfId="1127" xr:uid="{6F7A55EC-46A6-42DF-B5E4-8E96516255D9}"/>
    <cellStyle name="Normal 15 2 3 2 3 2" xfId="1929" xr:uid="{00000000-0005-0000-0000-0000D0020000}"/>
    <cellStyle name="Normal 15 2 3 2 4" xfId="1380" xr:uid="{00000000-0005-0000-0000-000038010000}"/>
    <cellStyle name="Normal 15 2 3 3" xfId="755" xr:uid="{00000000-0005-0000-0000-000046010000}"/>
    <cellStyle name="Normal 15 2 3 3 2" xfId="1561" xr:uid="{00000000-0005-0000-0000-000038010000}"/>
    <cellStyle name="Normal 15 2 3 4" xfId="1000" xr:uid="{00000000-0005-0000-0000-000046010000}"/>
    <cellStyle name="Normal 15 2 3 4 2" xfId="1808" xr:uid="{00000000-0005-0000-0000-0000D2020000}"/>
    <cellStyle name="Normal 15 2 3 5" xfId="1257" xr:uid="{00000000-0005-0000-0000-000044010000}"/>
    <cellStyle name="Normal 15 2 4" xfId="567" xr:uid="{941B5A11-846D-4A39-BAC4-97370CFAA9D7}"/>
    <cellStyle name="Normal 15 2 4 2" xfId="816" xr:uid="{941B5A11-846D-4A39-BAC4-97370CFAA9D7}"/>
    <cellStyle name="Normal 15 2 4 2 2" xfId="1621" xr:uid="{00000000-0005-0000-0000-000038010000}"/>
    <cellStyle name="Normal 15 2 4 3" xfId="1067" xr:uid="{941B5A11-846D-4A39-BAC4-97370CFAA9D7}"/>
    <cellStyle name="Normal 15 2 4 3 2" xfId="1869" xr:uid="{00000000-0005-0000-0000-0000D5020000}"/>
    <cellStyle name="Normal 15 2 4 4" xfId="1440" xr:uid="{00000000-0005-0000-0000-000038010000}"/>
    <cellStyle name="Normal 15 2 5" xfId="695" xr:uid="{00000000-0005-0000-0000-000043010000}"/>
    <cellStyle name="Normal 15 2 5 2" xfId="1682" xr:uid="{00000000-0005-0000-0000-000038010000}"/>
    <cellStyle name="Normal 15 2 5 3" xfId="1337" xr:uid="{00000000-0005-0000-0000-00001A010000}"/>
    <cellStyle name="Normal 15 2 6" xfId="938" xr:uid="{00000000-0005-0000-0000-000043010000}"/>
    <cellStyle name="Normal 15 2 6 2" xfId="1518" xr:uid="{00000000-0005-0000-0000-00001A010000}"/>
    <cellStyle name="Normal 15 2 7" xfId="1195" xr:uid="{00000000-0005-0000-0000-000041010000}"/>
    <cellStyle name="Normal 15 3" xfId="465" xr:uid="{00000000-0005-0000-0000-000047010000}"/>
    <cellStyle name="Normal 15 3 2" xfId="529" xr:uid="{00000000-0005-0000-0000-000048010000}"/>
    <cellStyle name="Normal 15 3 2 2" xfId="659" xr:uid="{4742603E-83F6-47E4-AB47-10EF249BCD32}"/>
    <cellStyle name="Normal 15 3 2 2 2" xfId="905" xr:uid="{4742603E-83F6-47E4-AB47-10EF249BCD32}"/>
    <cellStyle name="Normal 15 3 2 2 2 2" xfId="1775" xr:uid="{00000000-0005-0000-0000-0000DB020000}"/>
    <cellStyle name="Normal 15 3 2 2 3" xfId="1156" xr:uid="{4742603E-83F6-47E4-AB47-10EF249BCD32}"/>
    <cellStyle name="Normal 15 3 2 2 3 2" xfId="1958" xr:uid="{00000000-0005-0000-0000-0000DC020000}"/>
    <cellStyle name="Normal 15 3 2 2 4" xfId="1409" xr:uid="{00000000-0005-0000-0000-0000FE010000}"/>
    <cellStyle name="Normal 15 3 2 3" xfId="784" xr:uid="{00000000-0005-0000-0000-000048010000}"/>
    <cellStyle name="Normal 15 3 2 3 2" xfId="1590" xr:uid="{00000000-0005-0000-0000-0000FE010000}"/>
    <cellStyle name="Normal 15 3 2 4" xfId="1029" xr:uid="{00000000-0005-0000-0000-000048010000}"/>
    <cellStyle name="Normal 15 3 2 4 2" xfId="1837" xr:uid="{00000000-0005-0000-0000-0000DE020000}"/>
    <cellStyle name="Normal 15 3 2 5" xfId="1286" xr:uid="{00000000-0005-0000-0000-000046010000}"/>
    <cellStyle name="Normal 15 3 3" xfId="599" xr:uid="{91DEDE59-9314-42CA-AC66-DFFED9D1A352}"/>
    <cellStyle name="Normal 15 3 3 2" xfId="845" xr:uid="{91DEDE59-9314-42CA-AC66-DFFED9D1A352}"/>
    <cellStyle name="Normal 15 3 3 2 2" xfId="1650" xr:uid="{00000000-0005-0000-0000-0000FE010000}"/>
    <cellStyle name="Normal 15 3 3 3" xfId="1096" xr:uid="{91DEDE59-9314-42CA-AC66-DFFED9D1A352}"/>
    <cellStyle name="Normal 15 3 3 3 2" xfId="1898" xr:uid="{00000000-0005-0000-0000-0000E1020000}"/>
    <cellStyle name="Normal 15 3 3 4" xfId="1469" xr:uid="{00000000-0005-0000-0000-0000FE010000}"/>
    <cellStyle name="Normal 15 3 4" xfId="724" xr:uid="{00000000-0005-0000-0000-000047010000}"/>
    <cellStyle name="Normal 15 3 4 2" xfId="1711" xr:uid="{00000000-0005-0000-0000-0000FE010000}"/>
    <cellStyle name="Normal 15 3 4 3" xfId="1339" xr:uid="{00000000-0005-0000-0000-00001C010000}"/>
    <cellStyle name="Normal 15 3 5" xfId="969" xr:uid="{00000000-0005-0000-0000-000047010000}"/>
    <cellStyle name="Normal 15 3 5 2" xfId="1520" xr:uid="{00000000-0005-0000-0000-00001C010000}"/>
    <cellStyle name="Normal 15 3 6" xfId="1226" xr:uid="{00000000-0005-0000-0000-000045010000}"/>
    <cellStyle name="Normal 15 4" xfId="497" xr:uid="{00000000-0005-0000-0000-000049010000}"/>
    <cellStyle name="Normal 15 4 2" xfId="629" xr:uid="{9635E2BE-F75D-4665-B394-3ED18780E496}"/>
    <cellStyle name="Normal 15 4 2 2" xfId="875" xr:uid="{9635E2BE-F75D-4665-B394-3ED18780E496}"/>
    <cellStyle name="Normal 15 4 2 2 2" xfId="1745" xr:uid="{00000000-0005-0000-0000-0000E6020000}"/>
    <cellStyle name="Normal 15 4 2 3" xfId="1126" xr:uid="{9635E2BE-F75D-4665-B394-3ED18780E496}"/>
    <cellStyle name="Normal 15 4 2 3 2" xfId="1928" xr:uid="{00000000-0005-0000-0000-0000E7020000}"/>
    <cellStyle name="Normal 15 4 2 4" xfId="1379" xr:uid="{00000000-0005-0000-0000-000037010000}"/>
    <cellStyle name="Normal 15 4 3" xfId="754" xr:uid="{00000000-0005-0000-0000-000049010000}"/>
    <cellStyle name="Normal 15 4 3 2" xfId="1560" xr:uid="{00000000-0005-0000-0000-000037010000}"/>
    <cellStyle name="Normal 15 4 4" xfId="999" xr:uid="{00000000-0005-0000-0000-000049010000}"/>
    <cellStyle name="Normal 15 4 4 2" xfId="1807" xr:uid="{00000000-0005-0000-0000-0000E9020000}"/>
    <cellStyle name="Normal 15 4 5" xfId="1256" xr:uid="{00000000-0005-0000-0000-000047010000}"/>
    <cellStyle name="Normal 15 5" xfId="566" xr:uid="{DFE13CF7-66A7-4B1E-8BF6-0E23C4911C81}"/>
    <cellStyle name="Normal 15 5 2" xfId="815" xr:uid="{DFE13CF7-66A7-4B1E-8BF6-0E23C4911C81}"/>
    <cellStyle name="Normal 15 5 2 2" xfId="1620" xr:uid="{00000000-0005-0000-0000-000037010000}"/>
    <cellStyle name="Normal 15 5 3" xfId="1066" xr:uid="{DFE13CF7-66A7-4B1E-8BF6-0E23C4911C81}"/>
    <cellStyle name="Normal 15 5 3 2" xfId="1868" xr:uid="{00000000-0005-0000-0000-0000EC020000}"/>
    <cellStyle name="Normal 15 5 4" xfId="1439" xr:uid="{00000000-0005-0000-0000-000037010000}"/>
    <cellStyle name="Normal 15 6" xfId="694" xr:uid="{00000000-0005-0000-0000-000042010000}"/>
    <cellStyle name="Normal 15 6 2" xfId="1681" xr:uid="{00000000-0005-0000-0000-000037010000}"/>
    <cellStyle name="Normal 15 6 3" xfId="1336" xr:uid="{00000000-0005-0000-0000-000019010000}"/>
    <cellStyle name="Normal 15 7" xfId="937" xr:uid="{00000000-0005-0000-0000-000042010000}"/>
    <cellStyle name="Normal 15 7 2" xfId="1517" xr:uid="{00000000-0005-0000-0000-000019010000}"/>
    <cellStyle name="Normal 15 8" xfId="1194" xr:uid="{00000000-0005-0000-0000-000040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2 2 2" xfId="662" xr:uid="{BCD26047-6599-40CF-AED1-7FF61D5A2592}"/>
    <cellStyle name="Normal 16 2 2 2 2 2" xfId="908" xr:uid="{BCD26047-6599-40CF-AED1-7FF61D5A2592}"/>
    <cellStyle name="Normal 16 2 2 2 2 2 2" xfId="1778" xr:uid="{00000000-0005-0000-0000-0000F4020000}"/>
    <cellStyle name="Normal 16 2 2 2 2 3" xfId="1159" xr:uid="{BCD26047-6599-40CF-AED1-7FF61D5A2592}"/>
    <cellStyle name="Normal 16 2 2 2 2 3 2" xfId="1961" xr:uid="{00000000-0005-0000-0000-0000F5020000}"/>
    <cellStyle name="Normal 16 2 2 2 2 4" xfId="1412" xr:uid="{00000000-0005-0000-0000-000001020000}"/>
    <cellStyle name="Normal 16 2 2 2 3" xfId="787" xr:uid="{00000000-0005-0000-0000-00004D010000}"/>
    <cellStyle name="Normal 16 2 2 2 3 2" xfId="1593" xr:uid="{00000000-0005-0000-0000-000001020000}"/>
    <cellStyle name="Normal 16 2 2 2 4" xfId="1032" xr:uid="{00000000-0005-0000-0000-00004D010000}"/>
    <cellStyle name="Normal 16 2 2 2 4 2" xfId="1840" xr:uid="{00000000-0005-0000-0000-0000F7020000}"/>
    <cellStyle name="Normal 16 2 2 2 5" xfId="1289" xr:uid="{00000000-0005-0000-0000-00004B010000}"/>
    <cellStyle name="Normal 16 2 2 3" xfId="602" xr:uid="{3E8A6AE6-9664-4BDD-8630-8F6A87E5C6E1}"/>
    <cellStyle name="Normal 16 2 2 3 2" xfId="848" xr:uid="{3E8A6AE6-9664-4BDD-8630-8F6A87E5C6E1}"/>
    <cellStyle name="Normal 16 2 2 3 2 2" xfId="1653" xr:uid="{00000000-0005-0000-0000-000001020000}"/>
    <cellStyle name="Normal 16 2 2 3 3" xfId="1099" xr:uid="{3E8A6AE6-9664-4BDD-8630-8F6A87E5C6E1}"/>
    <cellStyle name="Normal 16 2 2 3 3 2" xfId="1901" xr:uid="{00000000-0005-0000-0000-0000FA020000}"/>
    <cellStyle name="Normal 16 2 2 3 4" xfId="1472" xr:uid="{00000000-0005-0000-0000-000001020000}"/>
    <cellStyle name="Normal 16 2 2 4" xfId="727" xr:uid="{00000000-0005-0000-0000-00004C010000}"/>
    <cellStyle name="Normal 16 2 2 4 2" xfId="1714" xr:uid="{00000000-0005-0000-0000-000001020000}"/>
    <cellStyle name="Normal 16 2 2 4 3" xfId="1342" xr:uid="{00000000-0005-0000-0000-00001F010000}"/>
    <cellStyle name="Normal 16 2 2 5" xfId="972" xr:uid="{00000000-0005-0000-0000-00004C010000}"/>
    <cellStyle name="Normal 16 2 2 5 2" xfId="1523" xr:uid="{00000000-0005-0000-0000-00001F010000}"/>
    <cellStyle name="Normal 16 2 2 6" xfId="1229" xr:uid="{00000000-0005-0000-0000-00004A010000}"/>
    <cellStyle name="Normal 16 2 3" xfId="500" xr:uid="{00000000-0005-0000-0000-00004E010000}"/>
    <cellStyle name="Normal 16 2 3 2" xfId="632" xr:uid="{40E39FFB-3BD2-4FA1-BAF0-9E6CFB077331}"/>
    <cellStyle name="Normal 16 2 3 2 2" xfId="878" xr:uid="{40E39FFB-3BD2-4FA1-BAF0-9E6CFB077331}"/>
    <cellStyle name="Normal 16 2 3 2 2 2" xfId="1748" xr:uid="{00000000-0005-0000-0000-0000FF020000}"/>
    <cellStyle name="Normal 16 2 3 2 3" xfId="1129" xr:uid="{40E39FFB-3BD2-4FA1-BAF0-9E6CFB077331}"/>
    <cellStyle name="Normal 16 2 3 2 3 2" xfId="1931" xr:uid="{00000000-0005-0000-0000-000000030000}"/>
    <cellStyle name="Normal 16 2 3 2 4" xfId="1382" xr:uid="{00000000-0005-0000-0000-00003A010000}"/>
    <cellStyle name="Normal 16 2 3 3" xfId="757" xr:uid="{00000000-0005-0000-0000-00004E010000}"/>
    <cellStyle name="Normal 16 2 3 3 2" xfId="1563" xr:uid="{00000000-0005-0000-0000-00003A010000}"/>
    <cellStyle name="Normal 16 2 3 4" xfId="1002" xr:uid="{00000000-0005-0000-0000-00004E010000}"/>
    <cellStyle name="Normal 16 2 3 4 2" xfId="1810" xr:uid="{00000000-0005-0000-0000-000002030000}"/>
    <cellStyle name="Normal 16 2 3 5" xfId="1259" xr:uid="{00000000-0005-0000-0000-00004C010000}"/>
    <cellStyle name="Normal 16 2 4" xfId="569" xr:uid="{8383ECFE-1F80-4823-893E-3273D2919F91}"/>
    <cellStyle name="Normal 16 2 4 2" xfId="818" xr:uid="{8383ECFE-1F80-4823-893E-3273D2919F91}"/>
    <cellStyle name="Normal 16 2 4 2 2" xfId="1623" xr:uid="{00000000-0005-0000-0000-00003A010000}"/>
    <cellStyle name="Normal 16 2 4 3" xfId="1069" xr:uid="{8383ECFE-1F80-4823-893E-3273D2919F91}"/>
    <cellStyle name="Normal 16 2 4 3 2" xfId="1871" xr:uid="{00000000-0005-0000-0000-000005030000}"/>
    <cellStyle name="Normal 16 2 4 4" xfId="1442" xr:uid="{00000000-0005-0000-0000-00003A010000}"/>
    <cellStyle name="Normal 16 2 5" xfId="697" xr:uid="{00000000-0005-0000-0000-00004B010000}"/>
    <cellStyle name="Normal 16 2 5 2" xfId="1684" xr:uid="{00000000-0005-0000-0000-00003A010000}"/>
    <cellStyle name="Normal 16 2 5 3" xfId="1341" xr:uid="{00000000-0005-0000-0000-00001E010000}"/>
    <cellStyle name="Normal 16 2 6" xfId="940" xr:uid="{00000000-0005-0000-0000-00004B010000}"/>
    <cellStyle name="Normal 16 2 6 2" xfId="1522" xr:uid="{00000000-0005-0000-0000-00001E010000}"/>
    <cellStyle name="Normal 16 2 7" xfId="1197" xr:uid="{00000000-0005-0000-0000-000049010000}"/>
    <cellStyle name="Normal 16 3" xfId="467" xr:uid="{00000000-0005-0000-0000-00004F010000}"/>
    <cellStyle name="Normal 16 3 2" xfId="531" xr:uid="{00000000-0005-0000-0000-000050010000}"/>
    <cellStyle name="Normal 16 3 2 2" xfId="661" xr:uid="{A078BADE-0FA5-4ABD-8F7C-5D32135C4495}"/>
    <cellStyle name="Normal 16 3 2 2 2" xfId="907" xr:uid="{A078BADE-0FA5-4ABD-8F7C-5D32135C4495}"/>
    <cellStyle name="Normal 16 3 2 2 2 2" xfId="1777" xr:uid="{00000000-0005-0000-0000-00000B030000}"/>
    <cellStyle name="Normal 16 3 2 2 3" xfId="1158" xr:uid="{A078BADE-0FA5-4ABD-8F7C-5D32135C4495}"/>
    <cellStyle name="Normal 16 3 2 2 3 2" xfId="1960" xr:uid="{00000000-0005-0000-0000-00000C030000}"/>
    <cellStyle name="Normal 16 3 2 2 4" xfId="1411" xr:uid="{00000000-0005-0000-0000-000000020000}"/>
    <cellStyle name="Normal 16 3 2 3" xfId="786" xr:uid="{00000000-0005-0000-0000-000050010000}"/>
    <cellStyle name="Normal 16 3 2 3 2" xfId="1592" xr:uid="{00000000-0005-0000-0000-000000020000}"/>
    <cellStyle name="Normal 16 3 2 4" xfId="1031" xr:uid="{00000000-0005-0000-0000-000050010000}"/>
    <cellStyle name="Normal 16 3 2 4 2" xfId="1839" xr:uid="{00000000-0005-0000-0000-00000E030000}"/>
    <cellStyle name="Normal 16 3 2 5" xfId="1288" xr:uid="{00000000-0005-0000-0000-00004E010000}"/>
    <cellStyle name="Normal 16 3 3" xfId="601" xr:uid="{923F42BA-168E-4C97-AD0F-42F7D1A3CFA8}"/>
    <cellStyle name="Normal 16 3 3 2" xfId="847" xr:uid="{923F42BA-168E-4C97-AD0F-42F7D1A3CFA8}"/>
    <cellStyle name="Normal 16 3 3 2 2" xfId="1652" xr:uid="{00000000-0005-0000-0000-000000020000}"/>
    <cellStyle name="Normal 16 3 3 3" xfId="1098" xr:uid="{923F42BA-168E-4C97-AD0F-42F7D1A3CFA8}"/>
    <cellStyle name="Normal 16 3 3 3 2" xfId="1900" xr:uid="{00000000-0005-0000-0000-000011030000}"/>
    <cellStyle name="Normal 16 3 3 4" xfId="1471" xr:uid="{00000000-0005-0000-0000-000000020000}"/>
    <cellStyle name="Normal 16 3 4" xfId="726" xr:uid="{00000000-0005-0000-0000-00004F010000}"/>
    <cellStyle name="Normal 16 3 4 2" xfId="1713" xr:uid="{00000000-0005-0000-0000-000000020000}"/>
    <cellStyle name="Normal 16 3 4 3" xfId="1343" xr:uid="{00000000-0005-0000-0000-000020010000}"/>
    <cellStyle name="Normal 16 3 5" xfId="971" xr:uid="{00000000-0005-0000-0000-00004F010000}"/>
    <cellStyle name="Normal 16 3 5 2" xfId="1524" xr:uid="{00000000-0005-0000-0000-000020010000}"/>
    <cellStyle name="Normal 16 3 6" xfId="1228" xr:uid="{00000000-0005-0000-0000-00004D010000}"/>
    <cellStyle name="Normal 16 4" xfId="499" xr:uid="{00000000-0005-0000-0000-000051010000}"/>
    <cellStyle name="Normal 16 4 2" xfId="631" xr:uid="{4C4E4D4E-A69E-46F1-8E57-BA3CC7A27A9E}"/>
    <cellStyle name="Normal 16 4 2 2" xfId="877" xr:uid="{4C4E4D4E-A69E-46F1-8E57-BA3CC7A27A9E}"/>
    <cellStyle name="Normal 16 4 2 2 2" xfId="1747" xr:uid="{00000000-0005-0000-0000-000016030000}"/>
    <cellStyle name="Normal 16 4 2 3" xfId="1128" xr:uid="{4C4E4D4E-A69E-46F1-8E57-BA3CC7A27A9E}"/>
    <cellStyle name="Normal 16 4 2 3 2" xfId="1930" xr:uid="{00000000-0005-0000-0000-000017030000}"/>
    <cellStyle name="Normal 16 4 2 4" xfId="1381" xr:uid="{00000000-0005-0000-0000-000039010000}"/>
    <cellStyle name="Normal 16 4 3" xfId="756" xr:uid="{00000000-0005-0000-0000-000051010000}"/>
    <cellStyle name="Normal 16 4 3 2" xfId="1562" xr:uid="{00000000-0005-0000-0000-000039010000}"/>
    <cellStyle name="Normal 16 4 4" xfId="1001" xr:uid="{00000000-0005-0000-0000-000051010000}"/>
    <cellStyle name="Normal 16 4 4 2" xfId="1809" xr:uid="{00000000-0005-0000-0000-000019030000}"/>
    <cellStyle name="Normal 16 4 5" xfId="1258" xr:uid="{00000000-0005-0000-0000-00004F010000}"/>
    <cellStyle name="Normal 16 5" xfId="568" xr:uid="{E0D58A65-ECD8-4F4B-903D-F51C0D8C9A1C}"/>
    <cellStyle name="Normal 16 5 2" xfId="817" xr:uid="{E0D58A65-ECD8-4F4B-903D-F51C0D8C9A1C}"/>
    <cellStyle name="Normal 16 5 2 2" xfId="1622" xr:uid="{00000000-0005-0000-0000-000039010000}"/>
    <cellStyle name="Normal 16 5 3" xfId="1068" xr:uid="{E0D58A65-ECD8-4F4B-903D-F51C0D8C9A1C}"/>
    <cellStyle name="Normal 16 5 3 2" xfId="1870" xr:uid="{00000000-0005-0000-0000-00001C030000}"/>
    <cellStyle name="Normal 16 5 4" xfId="1441" xr:uid="{00000000-0005-0000-0000-000039010000}"/>
    <cellStyle name="Normal 16 6" xfId="696" xr:uid="{00000000-0005-0000-0000-00004A010000}"/>
    <cellStyle name="Normal 16 6 2" xfId="1683" xr:uid="{00000000-0005-0000-0000-000039010000}"/>
    <cellStyle name="Normal 16 6 3" xfId="1340" xr:uid="{00000000-0005-0000-0000-00001D010000}"/>
    <cellStyle name="Normal 16 7" xfId="939" xr:uid="{00000000-0005-0000-0000-00004A010000}"/>
    <cellStyle name="Normal 16 7 2" xfId="1521" xr:uid="{00000000-0005-0000-0000-00001D010000}"/>
    <cellStyle name="Normal 16 8" xfId="1196" xr:uid="{00000000-0005-0000-0000-000048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 7 2" xfId="1344" xr:uid="{00000000-0005-0000-0000-00002B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6" xfId="674" xr:uid="{00000000-0005-0000-0000-000042030000}"/>
    <cellStyle name="Normal 26 2" xfId="1042" xr:uid="{00000000-0005-0000-0000-00004F020000}"/>
    <cellStyle name="Normal 27" xfId="1043" xr:uid="{00000000-0005-0000-0000-000051020000}"/>
    <cellStyle name="Normal 27 2" xfId="1298" xr:uid="{00000000-0005-0000-0000-000062010000}"/>
    <cellStyle name="Normal 28" xfId="1170" xr:uid="{F7FC13AC-C8B1-49C3-9727-E3AD16A06C5C}"/>
    <cellStyle name="Normal 29" xfId="283" xr:uid="{00000000-0005-0000-0000-000064010000}"/>
    <cellStyle name="Normal 3" xfId="284" xr:uid="{00000000-0005-0000-0000-000065010000}"/>
    <cellStyle name="Normal 3 10" xfId="1198" xr:uid="{00000000-0005-0000-0000-000064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2 2 2" xfId="664" xr:uid="{D5C7FA4D-B8E1-4E8E-8667-376E9C24DF9F}"/>
    <cellStyle name="Normal 3 3 2 2 2 2" xfId="910" xr:uid="{D5C7FA4D-B8E1-4E8E-8667-376E9C24DF9F}"/>
    <cellStyle name="Normal 3 3 2 2 2 2 2" xfId="1780" xr:uid="{00000000-0005-0000-0000-00003E030000}"/>
    <cellStyle name="Normal 3 3 2 2 2 3" xfId="1161" xr:uid="{D5C7FA4D-B8E1-4E8E-8667-376E9C24DF9F}"/>
    <cellStyle name="Normal 3 3 2 2 2 3 2" xfId="1963" xr:uid="{00000000-0005-0000-0000-00003F030000}"/>
    <cellStyle name="Normal 3 3 2 2 2 4" xfId="1414" xr:uid="{00000000-0005-0000-0000-000003020000}"/>
    <cellStyle name="Normal 3 3 2 2 3" xfId="789" xr:uid="{00000000-0005-0000-0000-00006B010000}"/>
    <cellStyle name="Normal 3 3 2 2 3 2" xfId="1595" xr:uid="{00000000-0005-0000-0000-000003020000}"/>
    <cellStyle name="Normal 3 3 2 2 4" xfId="1034" xr:uid="{00000000-0005-0000-0000-00006B010000}"/>
    <cellStyle name="Normal 3 3 2 2 4 2" xfId="1842" xr:uid="{00000000-0005-0000-0000-000041030000}"/>
    <cellStyle name="Normal 3 3 2 2 5" xfId="1291" xr:uid="{00000000-0005-0000-0000-00006A010000}"/>
    <cellStyle name="Normal 3 3 2 3" xfId="604" xr:uid="{52A7E04A-D24E-4AE5-A2BB-3A91787518F2}"/>
    <cellStyle name="Normal 3 3 2 3 2" xfId="850" xr:uid="{52A7E04A-D24E-4AE5-A2BB-3A91787518F2}"/>
    <cellStyle name="Normal 3 3 2 3 2 2" xfId="1655" xr:uid="{00000000-0005-0000-0000-000003020000}"/>
    <cellStyle name="Normal 3 3 2 3 3" xfId="1101" xr:uid="{52A7E04A-D24E-4AE5-A2BB-3A91787518F2}"/>
    <cellStyle name="Normal 3 3 2 3 3 2" xfId="1903" xr:uid="{00000000-0005-0000-0000-000044030000}"/>
    <cellStyle name="Normal 3 3 2 3 4" xfId="1474" xr:uid="{00000000-0005-0000-0000-000003020000}"/>
    <cellStyle name="Normal 3 3 2 4" xfId="729" xr:uid="{00000000-0005-0000-0000-00006A010000}"/>
    <cellStyle name="Normal 3 3 2 4 2" xfId="1716" xr:uid="{00000000-0005-0000-0000-000003020000}"/>
    <cellStyle name="Normal 3 3 2 4 3" xfId="1347" xr:uid="{00000000-0005-0000-0000-000037010000}"/>
    <cellStyle name="Normal 3 3 2 5" xfId="974" xr:uid="{00000000-0005-0000-0000-00006A010000}"/>
    <cellStyle name="Normal 3 3 2 5 2" xfId="1527" xr:uid="{00000000-0005-0000-0000-000037010000}"/>
    <cellStyle name="Normal 3 3 2 6" xfId="1231" xr:uid="{00000000-0005-0000-0000-000069010000}"/>
    <cellStyle name="Normal 3 3 3" xfId="502" xr:uid="{00000000-0005-0000-0000-00006C010000}"/>
    <cellStyle name="Normal 3 3 3 2" xfId="634" xr:uid="{3D67A6AF-98ED-4623-AC24-EE2FCD058307}"/>
    <cellStyle name="Normal 3 3 3 2 2" xfId="880" xr:uid="{3D67A6AF-98ED-4623-AC24-EE2FCD058307}"/>
    <cellStyle name="Normal 3 3 3 2 2 2" xfId="1750" xr:uid="{00000000-0005-0000-0000-000049030000}"/>
    <cellStyle name="Normal 3 3 3 2 3" xfId="1131" xr:uid="{3D67A6AF-98ED-4623-AC24-EE2FCD058307}"/>
    <cellStyle name="Normal 3 3 3 2 3 2" xfId="1933" xr:uid="{00000000-0005-0000-0000-00004A030000}"/>
    <cellStyle name="Normal 3 3 3 2 4" xfId="1384" xr:uid="{00000000-0005-0000-0000-00004C010000}"/>
    <cellStyle name="Normal 3 3 3 3" xfId="759" xr:uid="{00000000-0005-0000-0000-00006C010000}"/>
    <cellStyle name="Normal 3 3 3 3 2" xfId="1565" xr:uid="{00000000-0005-0000-0000-00004C010000}"/>
    <cellStyle name="Normal 3 3 3 4" xfId="1004" xr:uid="{00000000-0005-0000-0000-00006C010000}"/>
    <cellStyle name="Normal 3 3 3 4 2" xfId="1812" xr:uid="{00000000-0005-0000-0000-00004C030000}"/>
    <cellStyle name="Normal 3 3 3 5" xfId="1261" xr:uid="{00000000-0005-0000-0000-00006B010000}"/>
    <cellStyle name="Normal 3 3 4" xfId="571" xr:uid="{0C5208BA-10CF-47F3-914D-EE8EDA4EDCD1}"/>
    <cellStyle name="Normal 3 3 4 2" xfId="820" xr:uid="{0C5208BA-10CF-47F3-914D-EE8EDA4EDCD1}"/>
    <cellStyle name="Normal 3 3 4 2 2" xfId="1625" xr:uid="{00000000-0005-0000-0000-00004C010000}"/>
    <cellStyle name="Normal 3 3 4 3" xfId="1071" xr:uid="{0C5208BA-10CF-47F3-914D-EE8EDA4EDCD1}"/>
    <cellStyle name="Normal 3 3 4 3 2" xfId="1873" xr:uid="{00000000-0005-0000-0000-00004F030000}"/>
    <cellStyle name="Normal 3 3 4 4" xfId="1444" xr:uid="{00000000-0005-0000-0000-00004C010000}"/>
    <cellStyle name="Normal 3 3 5" xfId="699" xr:uid="{00000000-0005-0000-0000-000069010000}"/>
    <cellStyle name="Normal 3 3 5 2" xfId="1686" xr:uid="{00000000-0005-0000-0000-00004C010000}"/>
    <cellStyle name="Normal 3 3 5 3" xfId="1346" xr:uid="{00000000-0005-0000-0000-000036010000}"/>
    <cellStyle name="Normal 3 3 6" xfId="942" xr:uid="{00000000-0005-0000-0000-000069010000}"/>
    <cellStyle name="Normal 3 3 6 2" xfId="1526" xr:uid="{00000000-0005-0000-0000-000036010000}"/>
    <cellStyle name="Normal 3 3 7" xfId="1199" xr:uid="{00000000-0005-0000-0000-000068010000}"/>
    <cellStyle name="Normal 3 4" xfId="288" xr:uid="{00000000-0005-0000-0000-00006D010000}"/>
    <cellStyle name="Normal 3 5" xfId="469" xr:uid="{00000000-0005-0000-0000-00006E010000}"/>
    <cellStyle name="Normal 3 5 2" xfId="533" xr:uid="{00000000-0005-0000-0000-00006F010000}"/>
    <cellStyle name="Normal 3 5 2 2" xfId="663" xr:uid="{40A4CF11-3CF5-4C6A-BB8F-A43669AD418C}"/>
    <cellStyle name="Normal 3 5 2 2 2" xfId="909" xr:uid="{40A4CF11-3CF5-4C6A-BB8F-A43669AD418C}"/>
    <cellStyle name="Normal 3 5 2 2 2 2" xfId="1779" xr:uid="{00000000-0005-0000-0000-000056030000}"/>
    <cellStyle name="Normal 3 5 2 2 3" xfId="1160" xr:uid="{40A4CF11-3CF5-4C6A-BB8F-A43669AD418C}"/>
    <cellStyle name="Normal 3 5 2 2 3 2" xfId="1962" xr:uid="{00000000-0005-0000-0000-000057030000}"/>
    <cellStyle name="Normal 3 5 2 2 4" xfId="1413" xr:uid="{00000000-0005-0000-0000-000002020000}"/>
    <cellStyle name="Normal 3 5 2 3" xfId="788" xr:uid="{00000000-0005-0000-0000-00006F010000}"/>
    <cellStyle name="Normal 3 5 2 3 2" xfId="1594" xr:uid="{00000000-0005-0000-0000-000002020000}"/>
    <cellStyle name="Normal 3 5 2 4" xfId="1033" xr:uid="{00000000-0005-0000-0000-00006F010000}"/>
    <cellStyle name="Normal 3 5 2 4 2" xfId="1841" xr:uid="{00000000-0005-0000-0000-000059030000}"/>
    <cellStyle name="Normal 3 5 2 5" xfId="1290" xr:uid="{00000000-0005-0000-0000-00006E010000}"/>
    <cellStyle name="Normal 3 5 3" xfId="603" xr:uid="{EB6A4345-E2D7-49E7-9EF3-7BC1BC9A0371}"/>
    <cellStyle name="Normal 3 5 3 2" xfId="849" xr:uid="{EB6A4345-E2D7-49E7-9EF3-7BC1BC9A0371}"/>
    <cellStyle name="Normal 3 5 3 2 2" xfId="1654" xr:uid="{00000000-0005-0000-0000-000002020000}"/>
    <cellStyle name="Normal 3 5 3 3" xfId="1100" xr:uid="{EB6A4345-E2D7-49E7-9EF3-7BC1BC9A0371}"/>
    <cellStyle name="Normal 3 5 3 3 2" xfId="1902" xr:uid="{00000000-0005-0000-0000-00005C030000}"/>
    <cellStyle name="Normal 3 5 3 4" xfId="1473" xr:uid="{00000000-0005-0000-0000-000002020000}"/>
    <cellStyle name="Normal 3 5 4" xfId="728" xr:uid="{00000000-0005-0000-0000-00006E010000}"/>
    <cellStyle name="Normal 3 5 4 2" xfId="1715" xr:uid="{00000000-0005-0000-0000-000002020000}"/>
    <cellStyle name="Normal 3 5 4 3" xfId="1348" xr:uid="{00000000-0005-0000-0000-000039010000}"/>
    <cellStyle name="Normal 3 5 5" xfId="973" xr:uid="{00000000-0005-0000-0000-00006E010000}"/>
    <cellStyle name="Normal 3 5 5 2" xfId="1528" xr:uid="{00000000-0005-0000-0000-000039010000}"/>
    <cellStyle name="Normal 3 5 6" xfId="1230" xr:uid="{00000000-0005-0000-0000-00006D010000}"/>
    <cellStyle name="Normal 3 6" xfId="501" xr:uid="{00000000-0005-0000-0000-000070010000}"/>
    <cellStyle name="Normal 3 6 2" xfId="633" xr:uid="{3F7877A0-2969-4F04-A5B7-73E620C2B03F}"/>
    <cellStyle name="Normal 3 6 2 2" xfId="879" xr:uid="{3F7877A0-2969-4F04-A5B7-73E620C2B03F}"/>
    <cellStyle name="Normal 3 6 2 2 2" xfId="1749" xr:uid="{00000000-0005-0000-0000-000061030000}"/>
    <cellStyle name="Normal 3 6 2 3" xfId="1130" xr:uid="{3F7877A0-2969-4F04-A5B7-73E620C2B03F}"/>
    <cellStyle name="Normal 3 6 2 3 2" xfId="1932" xr:uid="{00000000-0005-0000-0000-000062030000}"/>
    <cellStyle name="Normal 3 6 2 4" xfId="1383" xr:uid="{00000000-0005-0000-0000-000049010000}"/>
    <cellStyle name="Normal 3 6 3" xfId="758" xr:uid="{00000000-0005-0000-0000-000070010000}"/>
    <cellStyle name="Normal 3 6 3 2" xfId="1564" xr:uid="{00000000-0005-0000-0000-000049010000}"/>
    <cellStyle name="Normal 3 6 4" xfId="1003" xr:uid="{00000000-0005-0000-0000-000070010000}"/>
    <cellStyle name="Normal 3 6 4 2" xfId="1811" xr:uid="{00000000-0005-0000-0000-000064030000}"/>
    <cellStyle name="Normal 3 6 5" xfId="1260" xr:uid="{00000000-0005-0000-0000-00006F010000}"/>
    <cellStyle name="Normal 3 7" xfId="570" xr:uid="{D28F7927-FB5F-4701-A3E8-7B299FEB20B1}"/>
    <cellStyle name="Normal 3 7 2" xfId="819" xr:uid="{D28F7927-FB5F-4701-A3E8-7B299FEB20B1}"/>
    <cellStyle name="Normal 3 7 2 2" xfId="1624" xr:uid="{00000000-0005-0000-0000-000049010000}"/>
    <cellStyle name="Normal 3 7 3" xfId="1070" xr:uid="{D28F7927-FB5F-4701-A3E8-7B299FEB20B1}"/>
    <cellStyle name="Normal 3 7 3 2" xfId="1872" xr:uid="{00000000-0005-0000-0000-000067030000}"/>
    <cellStyle name="Normal 3 7 4" xfId="1443" xr:uid="{00000000-0005-0000-0000-000049010000}"/>
    <cellStyle name="Normal 3 8" xfId="698" xr:uid="{00000000-0005-0000-0000-000065010000}"/>
    <cellStyle name="Normal 3 8 2" xfId="1685" xr:uid="{00000000-0005-0000-0000-000049010000}"/>
    <cellStyle name="Normal 3 8 3" xfId="1345" xr:uid="{00000000-0005-0000-0000-000032010000}"/>
    <cellStyle name="Normal 3 9" xfId="941" xr:uid="{00000000-0005-0000-0000-000065010000}"/>
    <cellStyle name="Normal 3 9 2" xfId="1525" xr:uid="{00000000-0005-0000-0000-000032010000}"/>
    <cellStyle name="Normal 30" xfId="289" xr:uid="{00000000-0005-0000-0000-000071010000}"/>
    <cellStyle name="Normal 31" xfId="290" xr:uid="{00000000-0005-0000-0000-000072010000}"/>
    <cellStyle name="Normal 32" xfId="291" xr:uid="{00000000-0005-0000-0000-000073010000}"/>
    <cellStyle name="Normal 33" xfId="1169" xr:uid="{FAEB5887-EA37-487E-A79E-E82A40AB192D}"/>
    <cellStyle name="Normal 33 2" xfId="1541" xr:uid="{00000000-0005-0000-0000-0000B9030000}"/>
    <cellStyle name="Normal 33 3" xfId="1971" xr:uid="{00000000-0005-0000-0000-00006D030000}"/>
    <cellStyle name="Normal 34" xfId="292" xr:uid="{00000000-0005-0000-0000-000074010000}"/>
    <cellStyle name="Normal 35" xfId="1662" xr:uid="{00000000-0005-0000-0000-0000BA03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2 2 2" xfId="666" xr:uid="{60105B86-117F-4EE0-B3D9-8BE773059181}"/>
    <cellStyle name="Normal 4 2 2 2 2 2" xfId="912" xr:uid="{60105B86-117F-4EE0-B3D9-8BE773059181}"/>
    <cellStyle name="Normal 4 2 2 2 2 2 2" xfId="1782" xr:uid="{00000000-0005-0000-0000-000078030000}"/>
    <cellStyle name="Normal 4 2 2 2 2 3" xfId="1163" xr:uid="{60105B86-117F-4EE0-B3D9-8BE773059181}"/>
    <cellStyle name="Normal 4 2 2 2 2 3 2" xfId="1965" xr:uid="{00000000-0005-0000-0000-000079030000}"/>
    <cellStyle name="Normal 4 2 2 2 2 4" xfId="1416" xr:uid="{00000000-0005-0000-0000-000005020000}"/>
    <cellStyle name="Normal 4 2 2 2 3" xfId="791" xr:uid="{00000000-0005-0000-0000-00007C010000}"/>
    <cellStyle name="Normal 4 2 2 2 3 2" xfId="1597" xr:uid="{00000000-0005-0000-0000-000005020000}"/>
    <cellStyle name="Normal 4 2 2 2 4" xfId="1036" xr:uid="{00000000-0005-0000-0000-00007C010000}"/>
    <cellStyle name="Normal 4 2 2 2 4 2" xfId="1844" xr:uid="{00000000-0005-0000-0000-00007B030000}"/>
    <cellStyle name="Normal 4 2 2 2 5" xfId="1293" xr:uid="{00000000-0005-0000-0000-00007B010000}"/>
    <cellStyle name="Normal 4 2 2 3" xfId="606" xr:uid="{B184533E-AA91-4D6F-AAC0-5595CD576D92}"/>
    <cellStyle name="Normal 4 2 2 3 2" xfId="852" xr:uid="{B184533E-AA91-4D6F-AAC0-5595CD576D92}"/>
    <cellStyle name="Normal 4 2 2 3 2 2" xfId="1657" xr:uid="{00000000-0005-0000-0000-000005020000}"/>
    <cellStyle name="Normal 4 2 2 3 3" xfId="1103" xr:uid="{B184533E-AA91-4D6F-AAC0-5595CD576D92}"/>
    <cellStyle name="Normal 4 2 2 3 3 2" xfId="1905" xr:uid="{00000000-0005-0000-0000-00007E030000}"/>
    <cellStyle name="Normal 4 2 2 3 4" xfId="1476" xr:uid="{00000000-0005-0000-0000-000005020000}"/>
    <cellStyle name="Normal 4 2 2 4" xfId="731" xr:uid="{00000000-0005-0000-0000-00007B010000}"/>
    <cellStyle name="Normal 4 2 2 4 2" xfId="1718" xr:uid="{00000000-0005-0000-0000-000005020000}"/>
    <cellStyle name="Normal 4 2 2 4 3" xfId="1351" xr:uid="{00000000-0005-0000-0000-000044010000}"/>
    <cellStyle name="Normal 4 2 2 5" xfId="976" xr:uid="{00000000-0005-0000-0000-00007B010000}"/>
    <cellStyle name="Normal 4 2 2 5 2" xfId="1531" xr:uid="{00000000-0005-0000-0000-000044010000}"/>
    <cellStyle name="Normal 4 2 2 6" xfId="1233" xr:uid="{00000000-0005-0000-0000-00007A010000}"/>
    <cellStyle name="Normal 4 2 3" xfId="504" xr:uid="{00000000-0005-0000-0000-00007D010000}"/>
    <cellStyle name="Normal 4 2 3 2" xfId="636" xr:uid="{49FD4649-C32B-490C-8E65-6468AB09007C}"/>
    <cellStyle name="Normal 4 2 3 2 2" xfId="882" xr:uid="{49FD4649-C32B-490C-8E65-6468AB09007C}"/>
    <cellStyle name="Normal 4 2 3 2 2 2" xfId="1752" xr:uid="{00000000-0005-0000-0000-000083030000}"/>
    <cellStyle name="Normal 4 2 3 2 3" xfId="1133" xr:uid="{49FD4649-C32B-490C-8E65-6468AB09007C}"/>
    <cellStyle name="Normal 4 2 3 2 3 2" xfId="1935" xr:uid="{00000000-0005-0000-0000-000084030000}"/>
    <cellStyle name="Normal 4 2 3 2 4" xfId="1386" xr:uid="{00000000-0005-0000-0000-000057010000}"/>
    <cellStyle name="Normal 4 2 3 3" xfId="761" xr:uid="{00000000-0005-0000-0000-00007D010000}"/>
    <cellStyle name="Normal 4 2 3 3 2" xfId="1567" xr:uid="{00000000-0005-0000-0000-000057010000}"/>
    <cellStyle name="Normal 4 2 3 4" xfId="1006" xr:uid="{00000000-0005-0000-0000-00007D010000}"/>
    <cellStyle name="Normal 4 2 3 4 2" xfId="1814" xr:uid="{00000000-0005-0000-0000-000086030000}"/>
    <cellStyle name="Normal 4 2 3 5" xfId="1263" xr:uid="{00000000-0005-0000-0000-00007C010000}"/>
    <cellStyle name="Normal 4 2 4" xfId="573" xr:uid="{D284A73D-815F-4998-B20E-42EC933CBE1F}"/>
    <cellStyle name="Normal 4 2 4 2" xfId="822" xr:uid="{D284A73D-815F-4998-B20E-42EC933CBE1F}"/>
    <cellStyle name="Normal 4 2 4 2 2" xfId="1627" xr:uid="{00000000-0005-0000-0000-000057010000}"/>
    <cellStyle name="Normal 4 2 4 3" xfId="1073" xr:uid="{D284A73D-815F-4998-B20E-42EC933CBE1F}"/>
    <cellStyle name="Normal 4 2 4 3 2" xfId="1875" xr:uid="{00000000-0005-0000-0000-000089030000}"/>
    <cellStyle name="Normal 4 2 4 4" xfId="1446" xr:uid="{00000000-0005-0000-0000-000057010000}"/>
    <cellStyle name="Normal 4 2 5" xfId="701" xr:uid="{00000000-0005-0000-0000-00007A010000}"/>
    <cellStyle name="Normal 4 2 5 2" xfId="1688" xr:uid="{00000000-0005-0000-0000-000057010000}"/>
    <cellStyle name="Normal 4 2 5 3" xfId="1350" xr:uid="{00000000-0005-0000-0000-000043010000}"/>
    <cellStyle name="Normal 4 2 6" xfId="944" xr:uid="{00000000-0005-0000-0000-00007A010000}"/>
    <cellStyle name="Normal 4 2 6 2" xfId="1530" xr:uid="{00000000-0005-0000-0000-000043010000}"/>
    <cellStyle name="Normal 4 2 7" xfId="1201" xr:uid="{00000000-0005-0000-0000-000079010000}"/>
    <cellStyle name="Normal 4 3" xfId="299" xr:uid="{00000000-0005-0000-0000-00007E010000}"/>
    <cellStyle name="Normal 4 4" xfId="471" xr:uid="{00000000-0005-0000-0000-00007F010000}"/>
    <cellStyle name="Normal 4 4 2" xfId="535" xr:uid="{00000000-0005-0000-0000-000080010000}"/>
    <cellStyle name="Normal 4 4 2 2" xfId="665" xr:uid="{C675F651-5B88-4033-8A9B-2ABAF26DC924}"/>
    <cellStyle name="Normal 4 4 2 2 2" xfId="911" xr:uid="{C675F651-5B88-4033-8A9B-2ABAF26DC924}"/>
    <cellStyle name="Normal 4 4 2 2 2 2" xfId="1781" xr:uid="{00000000-0005-0000-0000-000090030000}"/>
    <cellStyle name="Normal 4 4 2 2 3" xfId="1162" xr:uid="{C675F651-5B88-4033-8A9B-2ABAF26DC924}"/>
    <cellStyle name="Normal 4 4 2 2 3 2" xfId="1964" xr:uid="{00000000-0005-0000-0000-000091030000}"/>
    <cellStyle name="Normal 4 4 2 2 4" xfId="1415" xr:uid="{00000000-0005-0000-0000-000004020000}"/>
    <cellStyle name="Normal 4 4 2 3" xfId="790" xr:uid="{00000000-0005-0000-0000-000080010000}"/>
    <cellStyle name="Normal 4 4 2 3 2" xfId="1596" xr:uid="{00000000-0005-0000-0000-000004020000}"/>
    <cellStyle name="Normal 4 4 2 4" xfId="1035" xr:uid="{00000000-0005-0000-0000-000080010000}"/>
    <cellStyle name="Normal 4 4 2 4 2" xfId="1843" xr:uid="{00000000-0005-0000-0000-000093030000}"/>
    <cellStyle name="Normal 4 4 2 5" xfId="1292" xr:uid="{00000000-0005-0000-0000-00007F010000}"/>
    <cellStyle name="Normal 4 4 3" xfId="605" xr:uid="{FD44FEB0-08BA-4A27-B96C-2F2415DAF9AF}"/>
    <cellStyle name="Normal 4 4 3 2" xfId="851" xr:uid="{FD44FEB0-08BA-4A27-B96C-2F2415DAF9AF}"/>
    <cellStyle name="Normal 4 4 3 2 2" xfId="1656" xr:uid="{00000000-0005-0000-0000-000004020000}"/>
    <cellStyle name="Normal 4 4 3 3" xfId="1102" xr:uid="{FD44FEB0-08BA-4A27-B96C-2F2415DAF9AF}"/>
    <cellStyle name="Normal 4 4 3 3 2" xfId="1904" xr:uid="{00000000-0005-0000-0000-000096030000}"/>
    <cellStyle name="Normal 4 4 3 4" xfId="1475" xr:uid="{00000000-0005-0000-0000-000004020000}"/>
    <cellStyle name="Normal 4 4 4" xfId="730" xr:uid="{00000000-0005-0000-0000-00007F010000}"/>
    <cellStyle name="Normal 4 4 4 2" xfId="1717" xr:uid="{00000000-0005-0000-0000-000004020000}"/>
    <cellStyle name="Normal 4 4 4 3" xfId="1352" xr:uid="{00000000-0005-0000-0000-000046010000}"/>
    <cellStyle name="Normal 4 4 5" xfId="975" xr:uid="{00000000-0005-0000-0000-00007F010000}"/>
    <cellStyle name="Normal 4 4 5 2" xfId="1532" xr:uid="{00000000-0005-0000-0000-000046010000}"/>
    <cellStyle name="Normal 4 4 6" xfId="1232" xr:uid="{00000000-0005-0000-0000-00007E010000}"/>
    <cellStyle name="Normal 4 5" xfId="503" xr:uid="{00000000-0005-0000-0000-000081010000}"/>
    <cellStyle name="Normal 4 5 2" xfId="635" xr:uid="{50074CA7-9C60-4FFB-9F90-DFCA68872D3E}"/>
    <cellStyle name="Normal 4 5 2 2" xfId="881" xr:uid="{50074CA7-9C60-4FFB-9F90-DFCA68872D3E}"/>
    <cellStyle name="Normal 4 5 2 2 2" xfId="1751" xr:uid="{00000000-0005-0000-0000-00009B030000}"/>
    <cellStyle name="Normal 4 5 2 3" xfId="1132" xr:uid="{50074CA7-9C60-4FFB-9F90-DFCA68872D3E}"/>
    <cellStyle name="Normal 4 5 2 3 2" xfId="1934" xr:uid="{00000000-0005-0000-0000-00009C030000}"/>
    <cellStyle name="Normal 4 5 2 4" xfId="1385" xr:uid="{00000000-0005-0000-0000-000056010000}"/>
    <cellStyle name="Normal 4 5 3" xfId="760" xr:uid="{00000000-0005-0000-0000-000081010000}"/>
    <cellStyle name="Normal 4 5 3 2" xfId="1566" xr:uid="{00000000-0005-0000-0000-000056010000}"/>
    <cellStyle name="Normal 4 5 4" xfId="1005" xr:uid="{00000000-0005-0000-0000-000081010000}"/>
    <cellStyle name="Normal 4 5 4 2" xfId="1813" xr:uid="{00000000-0005-0000-0000-00009E030000}"/>
    <cellStyle name="Normal 4 5 5" xfId="1262" xr:uid="{00000000-0005-0000-0000-000080010000}"/>
    <cellStyle name="Normal 4 6" xfId="572" xr:uid="{A9AF78CA-4CD3-42AB-A96C-6D413EB298B0}"/>
    <cellStyle name="Normal 4 6 2" xfId="821" xr:uid="{A9AF78CA-4CD3-42AB-A96C-6D413EB298B0}"/>
    <cellStyle name="Normal 4 6 2 2" xfId="1626" xr:uid="{00000000-0005-0000-0000-000056010000}"/>
    <cellStyle name="Normal 4 6 3" xfId="1072" xr:uid="{A9AF78CA-4CD3-42AB-A96C-6D413EB298B0}"/>
    <cellStyle name="Normal 4 6 3 2" xfId="1874" xr:uid="{00000000-0005-0000-0000-0000A1030000}"/>
    <cellStyle name="Normal 4 6 4" xfId="1445" xr:uid="{00000000-0005-0000-0000-000056010000}"/>
    <cellStyle name="Normal 4 7" xfId="700" xr:uid="{00000000-0005-0000-0000-000079010000}"/>
    <cellStyle name="Normal 4 7 2" xfId="1687" xr:uid="{00000000-0005-0000-0000-000056010000}"/>
    <cellStyle name="Normal 4 7 3" xfId="1349" xr:uid="{00000000-0005-0000-0000-000042010000}"/>
    <cellStyle name="Normal 4 8" xfId="943" xr:uid="{00000000-0005-0000-0000-000079010000}"/>
    <cellStyle name="Normal 4 8 2" xfId="1529" xr:uid="{00000000-0005-0000-0000-000042010000}"/>
    <cellStyle name="Normal 4 9" xfId="1200" xr:uid="{00000000-0005-0000-0000-000078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6" xfId="1171" xr:uid="{A50C1658-C7A2-40AA-9A3E-E144E4BCCF7E}"/>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3 2 2" xfId="668" xr:uid="{05821666-AF2F-46DE-BADD-E31E93B14F18}"/>
    <cellStyle name="Normal 5 2 3 2 2 2" xfId="914" xr:uid="{05821666-AF2F-46DE-BADD-E31E93B14F18}"/>
    <cellStyle name="Normal 5 2 3 2 2 2 2" xfId="1784" xr:uid="{00000000-0005-0000-0000-0000B4030000}"/>
    <cellStyle name="Normal 5 2 3 2 2 3" xfId="1165" xr:uid="{05821666-AF2F-46DE-BADD-E31E93B14F18}"/>
    <cellStyle name="Normal 5 2 3 2 2 3 2" xfId="1967" xr:uid="{00000000-0005-0000-0000-0000B5030000}"/>
    <cellStyle name="Normal 5 2 3 2 2 4" xfId="1418" xr:uid="{00000000-0005-0000-0000-000007020000}"/>
    <cellStyle name="Normal 5 2 3 2 3" xfId="793" xr:uid="{00000000-0005-0000-0000-00008F010000}"/>
    <cellStyle name="Normal 5 2 3 2 3 2" xfId="1599" xr:uid="{00000000-0005-0000-0000-000007020000}"/>
    <cellStyle name="Normal 5 2 3 2 4" xfId="1038" xr:uid="{00000000-0005-0000-0000-00008F010000}"/>
    <cellStyle name="Normal 5 2 3 2 4 2" xfId="1846" xr:uid="{00000000-0005-0000-0000-0000B7030000}"/>
    <cellStyle name="Normal 5 2 3 2 5" xfId="1295" xr:uid="{00000000-0005-0000-0000-00008E010000}"/>
    <cellStyle name="Normal 5 2 3 3" xfId="608" xr:uid="{4DA1824F-B173-429E-917B-B8D4FA91F123}"/>
    <cellStyle name="Normal 5 2 3 3 2" xfId="854" xr:uid="{4DA1824F-B173-429E-917B-B8D4FA91F123}"/>
    <cellStyle name="Normal 5 2 3 3 2 2" xfId="1659" xr:uid="{00000000-0005-0000-0000-000007020000}"/>
    <cellStyle name="Normal 5 2 3 3 3" xfId="1105" xr:uid="{4DA1824F-B173-429E-917B-B8D4FA91F123}"/>
    <cellStyle name="Normal 5 2 3 3 3 2" xfId="1907" xr:uid="{00000000-0005-0000-0000-0000BA030000}"/>
    <cellStyle name="Normal 5 2 3 3 4" xfId="1478" xr:uid="{00000000-0005-0000-0000-000007020000}"/>
    <cellStyle name="Normal 5 2 3 4" xfId="733" xr:uid="{00000000-0005-0000-0000-00008E010000}"/>
    <cellStyle name="Normal 5 2 3 4 2" xfId="1720" xr:uid="{00000000-0005-0000-0000-000007020000}"/>
    <cellStyle name="Normal 5 2 3 4 3" xfId="1355" xr:uid="{00000000-0005-0000-0000-000053010000}"/>
    <cellStyle name="Normal 5 2 3 5" xfId="978" xr:uid="{00000000-0005-0000-0000-00008E010000}"/>
    <cellStyle name="Normal 5 2 3 5 2" xfId="1535" xr:uid="{00000000-0005-0000-0000-000053010000}"/>
    <cellStyle name="Normal 5 2 3 6" xfId="1235" xr:uid="{00000000-0005-0000-0000-00008D010000}"/>
    <cellStyle name="Normal 5 2 4" xfId="506" xr:uid="{00000000-0005-0000-0000-000090010000}"/>
    <cellStyle name="Normal 5 2 4 2" xfId="638" xr:uid="{A967FD79-AC60-4723-9E6C-B76B0AC669F6}"/>
    <cellStyle name="Normal 5 2 4 2 2" xfId="884" xr:uid="{A967FD79-AC60-4723-9E6C-B76B0AC669F6}"/>
    <cellStyle name="Normal 5 2 4 2 2 2" xfId="1754" xr:uid="{00000000-0005-0000-0000-0000BF030000}"/>
    <cellStyle name="Normal 5 2 4 2 3" xfId="1135" xr:uid="{A967FD79-AC60-4723-9E6C-B76B0AC669F6}"/>
    <cellStyle name="Normal 5 2 4 2 3 2" xfId="1937" xr:uid="{00000000-0005-0000-0000-0000C0030000}"/>
    <cellStyle name="Normal 5 2 4 2 4" xfId="1388" xr:uid="{00000000-0005-0000-0000-000063010000}"/>
    <cellStyle name="Normal 5 2 4 3" xfId="763" xr:uid="{00000000-0005-0000-0000-000090010000}"/>
    <cellStyle name="Normal 5 2 4 3 2" xfId="1569" xr:uid="{00000000-0005-0000-0000-000063010000}"/>
    <cellStyle name="Normal 5 2 4 4" xfId="1008" xr:uid="{00000000-0005-0000-0000-000090010000}"/>
    <cellStyle name="Normal 5 2 4 4 2" xfId="1816" xr:uid="{00000000-0005-0000-0000-0000C2030000}"/>
    <cellStyle name="Normal 5 2 4 5" xfId="1265" xr:uid="{00000000-0005-0000-0000-00008F010000}"/>
    <cellStyle name="Normal 5 2 5" xfId="575" xr:uid="{F922BAE2-80E8-4349-A259-6A51A915A7E6}"/>
    <cellStyle name="Normal 5 2 5 2" xfId="824" xr:uid="{F922BAE2-80E8-4349-A259-6A51A915A7E6}"/>
    <cellStyle name="Normal 5 2 5 2 2" xfId="1629" xr:uid="{00000000-0005-0000-0000-000063010000}"/>
    <cellStyle name="Normal 5 2 5 3" xfId="1075" xr:uid="{F922BAE2-80E8-4349-A259-6A51A915A7E6}"/>
    <cellStyle name="Normal 5 2 5 3 2" xfId="1877" xr:uid="{00000000-0005-0000-0000-0000C5030000}"/>
    <cellStyle name="Normal 5 2 5 4" xfId="1448" xr:uid="{00000000-0005-0000-0000-000063010000}"/>
    <cellStyle name="Normal 5 2 6" xfId="703" xr:uid="{00000000-0005-0000-0000-00008C010000}"/>
    <cellStyle name="Normal 5 2 6 2" xfId="1690" xr:uid="{00000000-0005-0000-0000-000063010000}"/>
    <cellStyle name="Normal 5 2 6 3" xfId="1354" xr:uid="{00000000-0005-0000-0000-000051010000}"/>
    <cellStyle name="Normal 5 2 7" xfId="946" xr:uid="{00000000-0005-0000-0000-00008C010000}"/>
    <cellStyle name="Normal 5 2 7 2" xfId="1534" xr:uid="{00000000-0005-0000-0000-000051010000}"/>
    <cellStyle name="Normal 5 2 8" xfId="1203" xr:uid="{00000000-0005-0000-0000-00008B010000}"/>
    <cellStyle name="Normal 5 3" xfId="312" xr:uid="{00000000-0005-0000-0000-000091010000}"/>
    <cellStyle name="Normal 5 4" xfId="473" xr:uid="{00000000-0005-0000-0000-000092010000}"/>
    <cellStyle name="Normal 5 4 2" xfId="537" xr:uid="{00000000-0005-0000-0000-000093010000}"/>
    <cellStyle name="Normal 5 4 2 2" xfId="667" xr:uid="{B4DC2882-3575-4281-B89E-EDAFED1F559F}"/>
    <cellStyle name="Normal 5 4 2 2 2" xfId="913" xr:uid="{B4DC2882-3575-4281-B89E-EDAFED1F559F}"/>
    <cellStyle name="Normal 5 4 2 2 2 2" xfId="1783" xr:uid="{00000000-0005-0000-0000-0000CC030000}"/>
    <cellStyle name="Normal 5 4 2 2 3" xfId="1164" xr:uid="{B4DC2882-3575-4281-B89E-EDAFED1F559F}"/>
    <cellStyle name="Normal 5 4 2 2 3 2" xfId="1966" xr:uid="{00000000-0005-0000-0000-0000CD030000}"/>
    <cellStyle name="Normal 5 4 2 2 4" xfId="1417" xr:uid="{00000000-0005-0000-0000-000006020000}"/>
    <cellStyle name="Normal 5 4 2 3" xfId="792" xr:uid="{00000000-0005-0000-0000-000093010000}"/>
    <cellStyle name="Normal 5 4 2 3 2" xfId="1598" xr:uid="{00000000-0005-0000-0000-000006020000}"/>
    <cellStyle name="Normal 5 4 2 4" xfId="1037" xr:uid="{00000000-0005-0000-0000-000093010000}"/>
    <cellStyle name="Normal 5 4 2 4 2" xfId="1845" xr:uid="{00000000-0005-0000-0000-0000CF030000}"/>
    <cellStyle name="Normal 5 4 2 5" xfId="1294" xr:uid="{00000000-0005-0000-0000-000092010000}"/>
    <cellStyle name="Normal 5 4 3" xfId="607" xr:uid="{F8FBF76B-FE68-4DD2-98B6-3DF05D90AEE1}"/>
    <cellStyle name="Normal 5 4 3 2" xfId="853" xr:uid="{F8FBF76B-FE68-4DD2-98B6-3DF05D90AEE1}"/>
    <cellStyle name="Normal 5 4 3 2 2" xfId="1658" xr:uid="{00000000-0005-0000-0000-000006020000}"/>
    <cellStyle name="Normal 5 4 3 3" xfId="1104" xr:uid="{F8FBF76B-FE68-4DD2-98B6-3DF05D90AEE1}"/>
    <cellStyle name="Normal 5 4 3 3 2" xfId="1906" xr:uid="{00000000-0005-0000-0000-0000D2030000}"/>
    <cellStyle name="Normal 5 4 3 4" xfId="1477" xr:uid="{00000000-0005-0000-0000-000006020000}"/>
    <cellStyle name="Normal 5 4 4" xfId="732" xr:uid="{00000000-0005-0000-0000-000092010000}"/>
    <cellStyle name="Normal 5 4 4 2" xfId="1719" xr:uid="{00000000-0005-0000-0000-000006020000}"/>
    <cellStyle name="Normal 5 4 4 3" xfId="1356" xr:uid="{00000000-0005-0000-0000-000055010000}"/>
    <cellStyle name="Normal 5 4 5" xfId="977" xr:uid="{00000000-0005-0000-0000-000092010000}"/>
    <cellStyle name="Normal 5 4 5 2" xfId="1536" xr:uid="{00000000-0005-0000-0000-000055010000}"/>
    <cellStyle name="Normal 5 4 6" xfId="1234" xr:uid="{00000000-0005-0000-0000-000091010000}"/>
    <cellStyle name="Normal 5 5" xfId="505" xr:uid="{00000000-0005-0000-0000-000094010000}"/>
    <cellStyle name="Normal 5 5 2" xfId="637" xr:uid="{5A56B444-907C-4E5D-8360-619B8B8CDE97}"/>
    <cellStyle name="Normal 5 5 2 2" xfId="883" xr:uid="{5A56B444-907C-4E5D-8360-619B8B8CDE97}"/>
    <cellStyle name="Normal 5 5 2 2 2" xfId="1753" xr:uid="{00000000-0005-0000-0000-0000D7030000}"/>
    <cellStyle name="Normal 5 5 2 3" xfId="1134" xr:uid="{5A56B444-907C-4E5D-8360-619B8B8CDE97}"/>
    <cellStyle name="Normal 5 5 2 3 2" xfId="1936" xr:uid="{00000000-0005-0000-0000-0000D8030000}"/>
    <cellStyle name="Normal 5 5 2 4" xfId="1387" xr:uid="{00000000-0005-0000-0000-000062010000}"/>
    <cellStyle name="Normal 5 5 3" xfId="762" xr:uid="{00000000-0005-0000-0000-000094010000}"/>
    <cellStyle name="Normal 5 5 3 2" xfId="1568" xr:uid="{00000000-0005-0000-0000-000062010000}"/>
    <cellStyle name="Normal 5 5 4" xfId="1007" xr:uid="{00000000-0005-0000-0000-000094010000}"/>
    <cellStyle name="Normal 5 5 4 2" xfId="1815" xr:uid="{00000000-0005-0000-0000-0000DA030000}"/>
    <cellStyle name="Normal 5 5 5" xfId="1264" xr:uid="{00000000-0005-0000-0000-000093010000}"/>
    <cellStyle name="Normal 5 6" xfId="574" xr:uid="{B1B419E8-C5B4-41FD-8570-D3FDF153A324}"/>
    <cellStyle name="Normal 5 6 2" xfId="823" xr:uid="{B1B419E8-C5B4-41FD-8570-D3FDF153A324}"/>
    <cellStyle name="Normal 5 6 2 2" xfId="1628" xr:uid="{00000000-0005-0000-0000-000062010000}"/>
    <cellStyle name="Normal 5 6 3" xfId="1074" xr:uid="{B1B419E8-C5B4-41FD-8570-D3FDF153A324}"/>
    <cellStyle name="Normal 5 6 3 2" xfId="1876" xr:uid="{00000000-0005-0000-0000-0000DD030000}"/>
    <cellStyle name="Normal 5 6 4" xfId="1447" xr:uid="{00000000-0005-0000-0000-000062010000}"/>
    <cellStyle name="Normal 5 7" xfId="702" xr:uid="{00000000-0005-0000-0000-00008B010000}"/>
    <cellStyle name="Normal 5 7 2" xfId="1689" xr:uid="{00000000-0005-0000-0000-000062010000}"/>
    <cellStyle name="Normal 5 7 3" xfId="1353" xr:uid="{00000000-0005-0000-0000-000050010000}"/>
    <cellStyle name="Normal 5 8" xfId="945" xr:uid="{00000000-0005-0000-0000-00008B010000}"/>
    <cellStyle name="Normal 5 8 2" xfId="1533" xr:uid="{00000000-0005-0000-0000-000050010000}"/>
    <cellStyle name="Normal 5 9" xfId="1202" xr:uid="{00000000-0005-0000-0000-00008A010000}"/>
    <cellStyle name="Normal 50" xfId="313" xr:uid="{00000000-0005-0000-0000-000095010000}"/>
    <cellStyle name="Normal 51" xfId="314" xr:uid="{00000000-0005-0000-0000-000096010000}"/>
    <cellStyle name="Normal 52" xfId="1172" xr:uid="{8CB17D98-AE8A-4C14-A7A7-66FB35F7D4BA}"/>
    <cellStyle name="Normal 53" xfId="1173" xr:uid="{00000000-0005-0000-0000-0000C0050000}"/>
    <cellStyle name="Normal 54" xfId="1207" xr:uid="{00000000-0005-0000-0000-00005B070000}"/>
    <cellStyle name="Normal 55" xfId="1724" xr:uid="{00000000-0005-0000-0000-0000DE070000}"/>
    <cellStyle name="Normal 56" xfId="1189" xr:uid="{00000000-0005-0000-0000-0000E0070000}"/>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2 2 2" xfId="669" xr:uid="{CA85835C-A3BB-4031-B2F1-0AAAA5ECFE3D}"/>
    <cellStyle name="Normal 8 2 2 2 2" xfId="915" xr:uid="{CA85835C-A3BB-4031-B2F1-0AAAA5ECFE3D}"/>
    <cellStyle name="Normal 8 2 2 2 2 2" xfId="1785" xr:uid="{00000000-0005-0000-0000-0000F8030000}"/>
    <cellStyle name="Normal 8 2 2 2 3" xfId="1166" xr:uid="{CA85835C-A3BB-4031-B2F1-0AAAA5ECFE3D}"/>
    <cellStyle name="Normal 8 2 2 2 3 2" xfId="1968" xr:uid="{00000000-0005-0000-0000-0000F9030000}"/>
    <cellStyle name="Normal 8 2 2 2 4" xfId="1419" xr:uid="{00000000-0005-0000-0000-000008020000}"/>
    <cellStyle name="Normal 8 2 2 3" xfId="794" xr:uid="{00000000-0005-0000-0000-0000AA010000}"/>
    <cellStyle name="Normal 8 2 2 3 2" xfId="1600" xr:uid="{00000000-0005-0000-0000-000008020000}"/>
    <cellStyle name="Normal 8 2 2 4" xfId="1039" xr:uid="{00000000-0005-0000-0000-0000AA010000}"/>
    <cellStyle name="Normal 8 2 2 4 2" xfId="1847" xr:uid="{00000000-0005-0000-0000-0000FB030000}"/>
    <cellStyle name="Normal 8 2 2 5" xfId="1296" xr:uid="{00000000-0005-0000-0000-0000A9010000}"/>
    <cellStyle name="Normal 8 2 3" xfId="609" xr:uid="{4755CC45-8DD9-41C7-AFBC-F501A49C4CCA}"/>
    <cellStyle name="Normal 8 2 3 2" xfId="855" xr:uid="{4755CC45-8DD9-41C7-AFBC-F501A49C4CCA}"/>
    <cellStyle name="Normal 8 2 3 2 2" xfId="1660" xr:uid="{00000000-0005-0000-0000-000008020000}"/>
    <cellStyle name="Normal 8 2 3 3" xfId="1106" xr:uid="{4755CC45-8DD9-41C7-AFBC-F501A49C4CCA}"/>
    <cellStyle name="Normal 8 2 3 3 2" xfId="1908" xr:uid="{00000000-0005-0000-0000-0000FE030000}"/>
    <cellStyle name="Normal 8 2 3 4" xfId="1479" xr:uid="{00000000-0005-0000-0000-000008020000}"/>
    <cellStyle name="Normal 8 2 4" xfId="734" xr:uid="{00000000-0005-0000-0000-0000A9010000}"/>
    <cellStyle name="Normal 8 2 4 2" xfId="1721" xr:uid="{00000000-0005-0000-0000-000008020000}"/>
    <cellStyle name="Normal 8 2 4 3" xfId="1358" xr:uid="{00000000-0005-0000-0000-00006A010000}"/>
    <cellStyle name="Normal 8 2 5" xfId="979" xr:uid="{00000000-0005-0000-0000-0000A9010000}"/>
    <cellStyle name="Normal 8 2 5 2" xfId="1538" xr:uid="{00000000-0005-0000-0000-00006A010000}"/>
    <cellStyle name="Normal 8 2 6" xfId="1236" xr:uid="{00000000-0005-0000-0000-0000A8010000}"/>
    <cellStyle name="Normal 8 3" xfId="507" xr:uid="{00000000-0005-0000-0000-0000AB010000}"/>
    <cellStyle name="Normal 8 3 2" xfId="639" xr:uid="{550569AB-422A-48EE-9DC6-7303BC7D14B5}"/>
    <cellStyle name="Normal 8 3 2 2" xfId="885" xr:uid="{550569AB-422A-48EE-9DC6-7303BC7D14B5}"/>
    <cellStyle name="Normal 8 3 2 2 2" xfId="1755" xr:uid="{00000000-0005-0000-0000-000003040000}"/>
    <cellStyle name="Normal 8 3 2 3" xfId="1136" xr:uid="{550569AB-422A-48EE-9DC6-7303BC7D14B5}"/>
    <cellStyle name="Normal 8 3 2 3 2" xfId="1938" xr:uid="{00000000-0005-0000-0000-000004040000}"/>
    <cellStyle name="Normal 8 3 2 4" xfId="1389" xr:uid="{00000000-0005-0000-0000-000079010000}"/>
    <cellStyle name="Normal 8 3 3" xfId="764" xr:uid="{00000000-0005-0000-0000-0000AB010000}"/>
    <cellStyle name="Normal 8 3 3 2" xfId="1570" xr:uid="{00000000-0005-0000-0000-000079010000}"/>
    <cellStyle name="Normal 8 3 4" xfId="1009" xr:uid="{00000000-0005-0000-0000-0000AB010000}"/>
    <cellStyle name="Normal 8 3 4 2" xfId="1817" xr:uid="{00000000-0005-0000-0000-000006040000}"/>
    <cellStyle name="Normal 8 3 5" xfId="1266" xr:uid="{00000000-0005-0000-0000-0000AA010000}"/>
    <cellStyle name="Normal 8 4" xfId="576" xr:uid="{FF221DEE-18AB-422C-BBA4-FB04DFECFD40}"/>
    <cellStyle name="Normal 8 4 2" xfId="825" xr:uid="{FF221DEE-18AB-422C-BBA4-FB04DFECFD40}"/>
    <cellStyle name="Normal 8 4 2 2" xfId="1630" xr:uid="{00000000-0005-0000-0000-000079010000}"/>
    <cellStyle name="Normal 8 4 3" xfId="1076" xr:uid="{FF221DEE-18AB-422C-BBA4-FB04DFECFD40}"/>
    <cellStyle name="Normal 8 4 3 2" xfId="1878" xr:uid="{00000000-0005-0000-0000-000009040000}"/>
    <cellStyle name="Normal 8 4 4" xfId="1449" xr:uid="{00000000-0005-0000-0000-000079010000}"/>
    <cellStyle name="Normal 8 5" xfId="704" xr:uid="{00000000-0005-0000-0000-0000A8010000}"/>
    <cellStyle name="Normal 8 5 2" xfId="1691" xr:uid="{00000000-0005-0000-0000-000079010000}"/>
    <cellStyle name="Normal 8 5 3" xfId="1357" xr:uid="{00000000-0005-0000-0000-000069010000}"/>
    <cellStyle name="Normal 8 6" xfId="948" xr:uid="{00000000-0005-0000-0000-0000A8010000}"/>
    <cellStyle name="Normal 8 6 2" xfId="1537" xr:uid="{00000000-0005-0000-0000-000069010000}"/>
    <cellStyle name="Normal 8 7" xfId="1204" xr:uid="{00000000-0005-0000-0000-0000A7010000}"/>
    <cellStyle name="Normal 9" xfId="333" xr:uid="{00000000-0005-0000-0000-0000AC010000}"/>
    <cellStyle name="Normal 9 2" xfId="476" xr:uid="{00000000-0005-0000-0000-0000AD010000}"/>
    <cellStyle name="Normal 9 2 2" xfId="540" xr:uid="{00000000-0005-0000-0000-0000AE010000}"/>
    <cellStyle name="Normal 9 2 2 2" xfId="670" xr:uid="{841099A1-6077-4C59-BF65-7C9D4E1264BE}"/>
    <cellStyle name="Normal 9 2 2 2 2" xfId="916" xr:uid="{841099A1-6077-4C59-BF65-7C9D4E1264BE}"/>
    <cellStyle name="Normal 9 2 2 2 2 2" xfId="1786" xr:uid="{00000000-0005-0000-0000-000010040000}"/>
    <cellStyle name="Normal 9 2 2 2 3" xfId="1167" xr:uid="{841099A1-6077-4C59-BF65-7C9D4E1264BE}"/>
    <cellStyle name="Normal 9 2 2 2 3 2" xfId="1969" xr:uid="{00000000-0005-0000-0000-000011040000}"/>
    <cellStyle name="Normal 9 2 2 2 4" xfId="1420" xr:uid="{00000000-0005-0000-0000-000009020000}"/>
    <cellStyle name="Normal 9 2 2 3" xfId="795" xr:uid="{00000000-0005-0000-0000-0000AE010000}"/>
    <cellStyle name="Normal 9 2 2 3 2" xfId="1601" xr:uid="{00000000-0005-0000-0000-000009020000}"/>
    <cellStyle name="Normal 9 2 2 4" xfId="1040" xr:uid="{00000000-0005-0000-0000-0000AE010000}"/>
    <cellStyle name="Normal 9 2 2 4 2" xfId="1848" xr:uid="{00000000-0005-0000-0000-000013040000}"/>
    <cellStyle name="Normal 9 2 2 5" xfId="1297" xr:uid="{00000000-0005-0000-0000-0000AD010000}"/>
    <cellStyle name="Normal 9 2 3" xfId="610" xr:uid="{D8383B5A-B97A-4966-83C8-64035D428B08}"/>
    <cellStyle name="Normal 9 2 3 2" xfId="856" xr:uid="{D8383B5A-B97A-4966-83C8-64035D428B08}"/>
    <cellStyle name="Normal 9 2 3 2 2" xfId="1661" xr:uid="{00000000-0005-0000-0000-000009020000}"/>
    <cellStyle name="Normal 9 2 3 3" xfId="1107" xr:uid="{D8383B5A-B97A-4966-83C8-64035D428B08}"/>
    <cellStyle name="Normal 9 2 3 3 2" xfId="1909" xr:uid="{00000000-0005-0000-0000-000016040000}"/>
    <cellStyle name="Normal 9 2 3 4" xfId="1480" xr:uid="{00000000-0005-0000-0000-000009020000}"/>
    <cellStyle name="Normal 9 2 4" xfId="735" xr:uid="{00000000-0005-0000-0000-0000AD010000}"/>
    <cellStyle name="Normal 9 2 4 2" xfId="1722" xr:uid="{00000000-0005-0000-0000-000009020000}"/>
    <cellStyle name="Normal 9 2 4 3" xfId="1360" xr:uid="{00000000-0005-0000-0000-00006C010000}"/>
    <cellStyle name="Normal 9 2 5" xfId="980" xr:uid="{00000000-0005-0000-0000-0000AD010000}"/>
    <cellStyle name="Normal 9 2 5 2" xfId="1540" xr:uid="{00000000-0005-0000-0000-00006C010000}"/>
    <cellStyle name="Normal 9 2 6" xfId="1237" xr:uid="{00000000-0005-0000-0000-0000AC010000}"/>
    <cellStyle name="Normal 9 3" xfId="508" xr:uid="{00000000-0005-0000-0000-0000AF010000}"/>
    <cellStyle name="Normal 9 3 2" xfId="640" xr:uid="{C9E6F828-9E7E-49C5-94EA-084BC93A6F94}"/>
    <cellStyle name="Normal 9 3 2 2" xfId="886" xr:uid="{C9E6F828-9E7E-49C5-94EA-084BC93A6F94}"/>
    <cellStyle name="Normal 9 3 2 2 2" xfId="1756" xr:uid="{00000000-0005-0000-0000-00001B040000}"/>
    <cellStyle name="Normal 9 3 2 3" xfId="1137" xr:uid="{C9E6F828-9E7E-49C5-94EA-084BC93A6F94}"/>
    <cellStyle name="Normal 9 3 2 3 2" xfId="1939" xr:uid="{00000000-0005-0000-0000-00001C040000}"/>
    <cellStyle name="Normal 9 3 2 4" xfId="1390" xr:uid="{00000000-0005-0000-0000-00007A010000}"/>
    <cellStyle name="Normal 9 3 3" xfId="765" xr:uid="{00000000-0005-0000-0000-0000AF010000}"/>
    <cellStyle name="Normal 9 3 3 2" xfId="1571" xr:uid="{00000000-0005-0000-0000-00007A010000}"/>
    <cellStyle name="Normal 9 3 4" xfId="1010" xr:uid="{00000000-0005-0000-0000-0000AF010000}"/>
    <cellStyle name="Normal 9 3 4 2" xfId="1818" xr:uid="{00000000-0005-0000-0000-00001E040000}"/>
    <cellStyle name="Normal 9 3 5" xfId="1267" xr:uid="{00000000-0005-0000-0000-0000AE010000}"/>
    <cellStyle name="Normal 9 4" xfId="577" xr:uid="{5105DB7A-8D5F-46AA-B35A-9315A73B20C7}"/>
    <cellStyle name="Normal 9 4 2" xfId="826" xr:uid="{5105DB7A-8D5F-46AA-B35A-9315A73B20C7}"/>
    <cellStyle name="Normal 9 4 2 2" xfId="1631" xr:uid="{00000000-0005-0000-0000-00007A010000}"/>
    <cellStyle name="Normal 9 4 3" xfId="1077" xr:uid="{5105DB7A-8D5F-46AA-B35A-9315A73B20C7}"/>
    <cellStyle name="Normal 9 4 3 2" xfId="1879" xr:uid="{00000000-0005-0000-0000-000021040000}"/>
    <cellStyle name="Normal 9 4 4" xfId="1450" xr:uid="{00000000-0005-0000-0000-00007A010000}"/>
    <cellStyle name="Normal 9 5" xfId="705" xr:uid="{00000000-0005-0000-0000-0000AC010000}"/>
    <cellStyle name="Normal 9 5 2" xfId="1692" xr:uid="{00000000-0005-0000-0000-00007A010000}"/>
    <cellStyle name="Normal 9 5 3" xfId="1359" xr:uid="{00000000-0005-0000-0000-00006B010000}"/>
    <cellStyle name="Normal 9 6" xfId="949" xr:uid="{00000000-0005-0000-0000-0000AC010000}"/>
    <cellStyle name="Normal 9 6 2" xfId="1539" xr:uid="{00000000-0005-0000-0000-00006B010000}"/>
    <cellStyle name="Normal 9 7" xfId="1205" xr:uid="{00000000-0005-0000-0000-0000AB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xdr:row>
      <xdr:rowOff>44824</xdr:rowOff>
    </xdr:from>
    <xdr:to>
      <xdr:col>6</xdr:col>
      <xdr:colOff>0</xdr:colOff>
      <xdr:row>2</xdr:row>
      <xdr:rowOff>44824</xdr:rowOff>
    </xdr:to>
    <xdr:cxnSp macro="">
      <xdr:nvCxnSpPr>
        <xdr:cNvPr id="3" name="Straight Connector 2">
          <a:extLst>
            <a:ext uri="{FF2B5EF4-FFF2-40B4-BE49-F238E27FC236}">
              <a16:creationId xmlns:a16="http://schemas.microsoft.com/office/drawing/2014/main" id="{8F47AF3E-D429-4428-8ABD-6459FB7AC93A}"/>
            </a:ext>
          </a:extLst>
        </xdr:cNvPr>
        <xdr:cNvCxnSpPr/>
      </xdr:nvCxnSpPr>
      <xdr:spPr>
        <a:xfrm>
          <a:off x="4543425" y="492499"/>
          <a:ext cx="304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27"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666" t="s">
        <v>331</v>
      </c>
      <c r="B1" s="666"/>
      <c r="C1" s="666"/>
      <c r="D1" s="666"/>
      <c r="E1" s="666"/>
      <c r="F1" s="666"/>
      <c r="G1" s="666"/>
      <c r="H1" s="666"/>
      <c r="I1" s="666"/>
    </row>
    <row r="2" spans="1:11" ht="18.75">
      <c r="A2" s="666" t="s">
        <v>376</v>
      </c>
      <c r="B2" s="666"/>
      <c r="C2" s="666"/>
      <c r="D2" s="666"/>
      <c r="E2" s="666"/>
      <c r="F2" s="666"/>
      <c r="G2" s="666"/>
      <c r="H2" s="666"/>
      <c r="I2" s="666"/>
    </row>
    <row r="3" spans="1:11" ht="25.5" customHeight="1">
      <c r="A3" s="667" t="s">
        <v>418</v>
      </c>
      <c r="B3" s="667"/>
      <c r="C3" s="667"/>
      <c r="D3" s="667"/>
      <c r="E3" s="667"/>
      <c r="F3" s="667"/>
      <c r="G3" s="667"/>
      <c r="H3" s="667"/>
      <c r="I3" s="667"/>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16"/>
  <sheetViews>
    <sheetView zoomScale="70" zoomScaleNormal="70" workbookViewId="0">
      <pane xSplit="1" ySplit="5" topLeftCell="B477" activePane="bottomRight" state="frozen"/>
      <selection pane="topRight" activeCell="B1" sqref="B1"/>
      <selection pane="bottomLeft" activeCell="A8" sqref="A8"/>
      <selection pane="bottomRight" activeCell="AC241" sqref="AC241"/>
    </sheetView>
  </sheetViews>
  <sheetFormatPr defaultColWidth="8.85546875" defaultRowHeight="16.5"/>
  <cols>
    <col min="1" max="1" width="7.140625" style="130" customWidth="1"/>
    <col min="2" max="2" width="87.42578125" style="128" customWidth="1"/>
    <col min="3" max="3" width="10.28515625" style="130" hidden="1" customWidth="1"/>
    <col min="4" max="7" width="10" style="130" hidden="1" customWidth="1"/>
    <col min="8" max="8" width="10" style="266" hidden="1" customWidth="1"/>
    <col min="9" max="9" width="20.7109375" style="129" customWidth="1"/>
    <col min="10" max="10" width="20.7109375" style="505" customWidth="1"/>
    <col min="11" max="11" width="20.7109375" style="266" customWidth="1"/>
    <col min="12" max="13" width="17.42578125" style="273" customWidth="1"/>
    <col min="14" max="14" width="21.5703125" style="128" hidden="1" customWidth="1"/>
    <col min="15" max="15" width="20.140625" style="128" hidden="1" customWidth="1"/>
    <col min="16" max="16" width="17.5703125" style="128" hidden="1" customWidth="1"/>
    <col min="17" max="17" width="18.28515625" style="128" hidden="1" customWidth="1"/>
    <col min="18" max="19" width="9.5703125" style="382" hidden="1" customWidth="1"/>
    <col min="20" max="20" width="13.5703125" style="128" hidden="1" customWidth="1"/>
    <col min="21" max="26" width="0" style="128" hidden="1" customWidth="1"/>
    <col min="27" max="27" width="17.5703125" style="128" customWidth="1"/>
    <col min="28" max="29" width="17" style="128" customWidth="1"/>
    <col min="30" max="16384" width="8.85546875" style="128"/>
  </cols>
  <sheetData>
    <row r="1" spans="1:20" ht="66" customHeight="1">
      <c r="A1" s="668" t="s">
        <v>768</v>
      </c>
      <c r="B1" s="668"/>
      <c r="C1" s="668"/>
      <c r="D1" s="668"/>
      <c r="E1" s="668"/>
      <c r="F1" s="668"/>
      <c r="G1" s="668"/>
      <c r="H1" s="668"/>
      <c r="I1" s="668"/>
      <c r="J1" s="668"/>
      <c r="K1" s="668"/>
      <c r="L1" s="668"/>
      <c r="M1" s="668"/>
      <c r="N1" s="129"/>
      <c r="O1" s="382"/>
    </row>
    <row r="2" spans="1:20">
      <c r="M2" s="270" t="s">
        <v>332</v>
      </c>
    </row>
    <row r="3" spans="1:20" s="130" customFormat="1" ht="32.25" customHeight="1">
      <c r="A3" s="674" t="s">
        <v>2</v>
      </c>
      <c r="B3" s="673" t="s">
        <v>0</v>
      </c>
      <c r="C3" s="123" t="s">
        <v>333</v>
      </c>
      <c r="D3" s="123" t="s">
        <v>334</v>
      </c>
      <c r="E3" s="123" t="s">
        <v>335</v>
      </c>
      <c r="F3" s="123" t="s">
        <v>336</v>
      </c>
      <c r="G3" s="123" t="s">
        <v>337</v>
      </c>
      <c r="H3" s="269" t="s">
        <v>338</v>
      </c>
      <c r="I3" s="672" t="s">
        <v>565</v>
      </c>
      <c r="J3" s="669" t="s">
        <v>766</v>
      </c>
      <c r="K3" s="670" t="s">
        <v>767</v>
      </c>
      <c r="L3" s="671" t="s">
        <v>557</v>
      </c>
      <c r="M3" s="671"/>
      <c r="R3" s="273"/>
      <c r="S3" s="273"/>
    </row>
    <row r="4" spans="1:20" s="130" customFormat="1" ht="32.25" customHeight="1">
      <c r="A4" s="674"/>
      <c r="B4" s="673"/>
      <c r="C4" s="123"/>
      <c r="D4" s="123"/>
      <c r="E4" s="123"/>
      <c r="F4" s="123"/>
      <c r="G4" s="123"/>
      <c r="H4" s="269"/>
      <c r="I4" s="672"/>
      <c r="J4" s="669"/>
      <c r="K4" s="670"/>
      <c r="L4" s="271" t="s">
        <v>558</v>
      </c>
      <c r="M4" s="271" t="s">
        <v>559</v>
      </c>
      <c r="O4" s="266"/>
      <c r="R4" s="273"/>
      <c r="S4" s="273"/>
    </row>
    <row r="5" spans="1:20">
      <c r="A5" s="508" t="s">
        <v>89</v>
      </c>
      <c r="B5" s="509" t="s">
        <v>68</v>
      </c>
      <c r="C5" s="510"/>
      <c r="D5" s="510"/>
      <c r="E5" s="510"/>
      <c r="F5" s="510"/>
      <c r="G5" s="510"/>
      <c r="H5" s="510"/>
      <c r="I5" s="511">
        <v>1</v>
      </c>
      <c r="J5" s="512">
        <v>2</v>
      </c>
      <c r="K5" s="512">
        <v>3</v>
      </c>
      <c r="L5" s="513" t="s">
        <v>560</v>
      </c>
      <c r="M5" s="513" t="s">
        <v>561</v>
      </c>
    </row>
    <row r="6" spans="1:20" ht="18.75">
      <c r="A6" s="502" t="s">
        <v>89</v>
      </c>
      <c r="B6" s="503" t="s">
        <v>596</v>
      </c>
      <c r="C6" s="514"/>
      <c r="D6" s="514"/>
      <c r="E6" s="514"/>
      <c r="F6" s="514"/>
      <c r="G6" s="514"/>
      <c r="H6" s="515"/>
      <c r="I6" s="504"/>
      <c r="J6" s="516"/>
      <c r="K6" s="557"/>
      <c r="L6" s="517"/>
      <c r="M6" s="517"/>
      <c r="N6" s="128" t="s">
        <v>118</v>
      </c>
      <c r="O6" s="129">
        <f>+O7+O8</f>
        <v>30124532676</v>
      </c>
      <c r="P6" s="129">
        <f t="shared" ref="P6:Q6" si="0">+P7+P8</f>
        <v>10382005230</v>
      </c>
      <c r="Q6" s="129">
        <f t="shared" si="0"/>
        <v>11704609630</v>
      </c>
      <c r="R6" s="382">
        <f>+P6/O6*100</f>
        <v>34.463622528728123</v>
      </c>
      <c r="S6" s="382">
        <f>+P6/Q6*100</f>
        <v>88.700140869200439</v>
      </c>
    </row>
    <row r="7" spans="1:20" ht="18.75">
      <c r="A7" s="315" t="s">
        <v>3</v>
      </c>
      <c r="B7" s="408" t="s">
        <v>597</v>
      </c>
      <c r="C7" s="123"/>
      <c r="D7" s="123"/>
      <c r="E7" s="123"/>
      <c r="F7" s="123"/>
      <c r="G7" s="123"/>
      <c r="H7" s="269"/>
      <c r="I7" s="477">
        <f>+I8+I10</f>
        <v>6582000000</v>
      </c>
      <c r="J7" s="477">
        <f>+J8+J10</f>
        <v>1494349071</v>
      </c>
      <c r="K7" s="555">
        <f>+K8+K10</f>
        <v>1467799100</v>
      </c>
      <c r="L7" s="518">
        <f t="shared" ref="L7:L31" si="1">+J7/I7*100</f>
        <v>22.703571422060165</v>
      </c>
      <c r="M7" s="518">
        <f t="shared" ref="M7:M31" si="2">+J7/K7*100</f>
        <v>101.80882867416938</v>
      </c>
      <c r="N7" s="380" t="s">
        <v>657</v>
      </c>
      <c r="O7" s="381">
        <f>+I29+I82+I116+I161+I202</f>
        <v>22177084000</v>
      </c>
      <c r="P7" s="381">
        <f t="shared" ref="P7:Q7" si="3">+J29+J82+J116+J161+J202</f>
        <v>9767332407</v>
      </c>
      <c r="Q7" s="381">
        <f t="shared" si="3"/>
        <v>10080957686</v>
      </c>
      <c r="R7" s="382">
        <f t="shared" ref="R7:R8" si="4">+P7/O7*100</f>
        <v>44.0424557484654</v>
      </c>
      <c r="S7" s="382">
        <f t="shared" ref="S7:S8" si="5">+P7/Q7*100</f>
        <v>96.888933683001682</v>
      </c>
    </row>
    <row r="8" spans="1:20" ht="18.75">
      <c r="A8" s="315">
        <v>1</v>
      </c>
      <c r="B8" s="408" t="s">
        <v>598</v>
      </c>
      <c r="C8" s="123"/>
      <c r="D8" s="123"/>
      <c r="E8" s="123"/>
      <c r="F8" s="123"/>
      <c r="G8" s="123"/>
      <c r="H8" s="269"/>
      <c r="I8" s="477">
        <f>+I9</f>
        <v>5000000</v>
      </c>
      <c r="J8" s="477">
        <f>+J9</f>
        <v>3675000</v>
      </c>
      <c r="K8" s="555">
        <f>+K9</f>
        <v>0</v>
      </c>
      <c r="L8" s="518">
        <f t="shared" si="1"/>
        <v>73.5</v>
      </c>
      <c r="M8" s="518" t="e">
        <f t="shared" si="2"/>
        <v>#DIV/0!</v>
      </c>
      <c r="N8" s="380" t="s">
        <v>658</v>
      </c>
      <c r="O8" s="381">
        <f>+I39+I91+I125+I169+I210</f>
        <v>7947448676</v>
      </c>
      <c r="P8" s="381">
        <f t="shared" ref="P8:Q8" si="6">+J39+J91+J125+J169+J210</f>
        <v>614672823.00000036</v>
      </c>
      <c r="Q8" s="381">
        <f t="shared" si="6"/>
        <v>1623651944</v>
      </c>
      <c r="R8" s="382">
        <f t="shared" si="4"/>
        <v>7.7342156968715265</v>
      </c>
      <c r="S8" s="382">
        <f t="shared" si="5"/>
        <v>37.85742537194907</v>
      </c>
    </row>
    <row r="9" spans="1:20" s="141" customFormat="1" ht="37.5">
      <c r="A9" s="315"/>
      <c r="B9" s="409" t="s">
        <v>23</v>
      </c>
      <c r="C9" s="403"/>
      <c r="D9" s="403"/>
      <c r="E9" s="403"/>
      <c r="F9" s="403"/>
      <c r="G9" s="403"/>
      <c r="H9" s="519"/>
      <c r="I9" s="476">
        <f>+I72</f>
        <v>5000000</v>
      </c>
      <c r="J9" s="476">
        <f>+J72</f>
        <v>3675000</v>
      </c>
      <c r="K9" s="468">
        <f>+K72</f>
        <v>0</v>
      </c>
      <c r="L9" s="520">
        <f t="shared" si="1"/>
        <v>73.5</v>
      </c>
      <c r="M9" s="520" t="e">
        <f t="shared" si="2"/>
        <v>#DIV/0!</v>
      </c>
      <c r="N9" s="128" t="s">
        <v>566</v>
      </c>
      <c r="O9" s="129">
        <f>+O10+O11</f>
        <v>17997784826</v>
      </c>
      <c r="P9" s="129">
        <f t="shared" ref="P9:Q9" si="7">+P10+P11</f>
        <v>4361187348.75</v>
      </c>
      <c r="Q9" s="129">
        <f t="shared" si="7"/>
        <v>4368016731</v>
      </c>
      <c r="R9" s="382">
        <f t="shared" ref="R9" si="8">+P9/O9*100</f>
        <v>24.231800696104177</v>
      </c>
      <c r="S9" s="382">
        <f t="shared" ref="S9" si="9">+P9/Q9*100</f>
        <v>99.843650272639024</v>
      </c>
    </row>
    <row r="10" spans="1:20" s="141" customFormat="1" ht="18.75">
      <c r="A10" s="315">
        <v>2</v>
      </c>
      <c r="B10" s="408" t="s">
        <v>599</v>
      </c>
      <c r="C10" s="123"/>
      <c r="D10" s="123"/>
      <c r="E10" s="123"/>
      <c r="F10" s="123"/>
      <c r="G10" s="123"/>
      <c r="H10" s="269"/>
      <c r="I10" s="477">
        <f>+I11+I12+I13</f>
        <v>6577000000</v>
      </c>
      <c r="J10" s="477">
        <f>+J11+J12+J13</f>
        <v>1490674071</v>
      </c>
      <c r="K10" s="555">
        <f>+K11+K12+K13</f>
        <v>1467799100</v>
      </c>
      <c r="L10" s="518">
        <f t="shared" si="1"/>
        <v>22.664954705792915</v>
      </c>
      <c r="M10" s="518">
        <f t="shared" si="2"/>
        <v>101.55845381019786</v>
      </c>
      <c r="N10" s="380" t="s">
        <v>657</v>
      </c>
      <c r="O10" s="394">
        <f>+I181+I229+I260</f>
        <v>2486471231</v>
      </c>
      <c r="P10" s="394">
        <f>+J181+J229+J260</f>
        <v>621898993</v>
      </c>
      <c r="Q10" s="394">
        <f>+K181+K229+K260</f>
        <v>415180016</v>
      </c>
      <c r="R10" s="395">
        <f t="shared" ref="R10:R11" si="10">+P10/O10*100</f>
        <v>25.011308606610616</v>
      </c>
      <c r="S10" s="395">
        <f t="shared" ref="S10:S11" si="11">+P10/Q10*100</f>
        <v>149.79020401598518</v>
      </c>
    </row>
    <row r="11" spans="1:20" ht="18.75">
      <c r="A11" s="410"/>
      <c r="B11" s="409" t="s">
        <v>21</v>
      </c>
      <c r="C11" s="403"/>
      <c r="D11" s="403"/>
      <c r="E11" s="403"/>
      <c r="F11" s="403"/>
      <c r="G11" s="403"/>
      <c r="H11" s="519"/>
      <c r="I11" s="476">
        <f>+I69</f>
        <v>40000000</v>
      </c>
      <c r="J11" s="476">
        <f>+J69</f>
        <v>37068621</v>
      </c>
      <c r="K11" s="468">
        <f>+K69</f>
        <v>77263800</v>
      </c>
      <c r="L11" s="520">
        <f t="shared" si="1"/>
        <v>92.671552500000004</v>
      </c>
      <c r="M11" s="520">
        <f t="shared" si="2"/>
        <v>47.976699308084768</v>
      </c>
      <c r="N11" s="380" t="s">
        <v>658</v>
      </c>
      <c r="O11" s="381">
        <f>+I66+I188+I238+I268</f>
        <v>15511313595</v>
      </c>
      <c r="P11" s="381">
        <f>+J66+J188+J238+J268</f>
        <v>3739288355.75</v>
      </c>
      <c r="Q11" s="381">
        <f>+K66+K188+K238+K268</f>
        <v>3952836715</v>
      </c>
      <c r="R11" s="395">
        <f t="shared" si="10"/>
        <v>24.106845193016678</v>
      </c>
      <c r="S11" s="395">
        <f t="shared" si="11"/>
        <v>94.597592193989726</v>
      </c>
    </row>
    <row r="12" spans="1:20" s="141" customFormat="1" ht="18.75">
      <c r="A12" s="410"/>
      <c r="B12" s="409" t="s">
        <v>22</v>
      </c>
      <c r="C12" s="403"/>
      <c r="D12" s="403"/>
      <c r="E12" s="403"/>
      <c r="F12" s="403"/>
      <c r="G12" s="403"/>
      <c r="H12" s="519"/>
      <c r="I12" s="476">
        <f>+I71</f>
        <v>6292000000</v>
      </c>
      <c r="J12" s="476">
        <f>+J71</f>
        <v>1361354300</v>
      </c>
      <c r="K12" s="468">
        <f>+K71</f>
        <v>1346635300</v>
      </c>
      <c r="L12" s="520">
        <f t="shared" si="1"/>
        <v>21.636273045136679</v>
      </c>
      <c r="M12" s="520">
        <f t="shared" si="2"/>
        <v>101.09302050822519</v>
      </c>
      <c r="N12" s="267" t="s">
        <v>567</v>
      </c>
      <c r="O12" s="129">
        <f>+O13+O14</f>
        <v>3507506740</v>
      </c>
      <c r="P12" s="129">
        <f t="shared" ref="P12:Q12" si="12">+P13+P14</f>
        <v>1106875627</v>
      </c>
      <c r="Q12" s="129">
        <f t="shared" si="12"/>
        <v>992175205</v>
      </c>
      <c r="R12" s="382">
        <f>+P12/O12*100</f>
        <v>31.557334284694775</v>
      </c>
      <c r="S12" s="382">
        <f>+P12/Q12*100</f>
        <v>111.560500748454</v>
      </c>
    </row>
    <row r="13" spans="1:20" s="141" customFormat="1" ht="37.5">
      <c r="A13" s="410"/>
      <c r="B13" s="409" t="s">
        <v>345</v>
      </c>
      <c r="C13" s="123"/>
      <c r="D13" s="123"/>
      <c r="E13" s="123"/>
      <c r="F13" s="123"/>
      <c r="G13" s="123"/>
      <c r="H13" s="269"/>
      <c r="I13" s="476">
        <f>+I74</f>
        <v>245000000</v>
      </c>
      <c r="J13" s="476">
        <f>+J74</f>
        <v>92251150</v>
      </c>
      <c r="K13" s="468">
        <f>+K74</f>
        <v>43900000</v>
      </c>
      <c r="L13" s="518">
        <f t="shared" si="1"/>
        <v>37.653530612244893</v>
      </c>
      <c r="M13" s="518">
        <f t="shared" si="2"/>
        <v>210.13929384965832</v>
      </c>
      <c r="N13" s="380" t="s">
        <v>657</v>
      </c>
      <c r="O13" s="394">
        <f>+I142+I286</f>
        <v>618250000</v>
      </c>
      <c r="P13" s="394">
        <f>+J142+J286</f>
        <v>339597300</v>
      </c>
      <c r="Q13" s="394">
        <f>+K142+K286</f>
        <v>265680000</v>
      </c>
      <c r="R13" s="395">
        <f t="shared" ref="R13:R14" si="13">+P13/O13*100</f>
        <v>54.928799029518807</v>
      </c>
      <c r="S13" s="395">
        <f t="shared" ref="S13:S14" si="14">+P13/Q13*100</f>
        <v>127.82192863595303</v>
      </c>
      <c r="T13" s="396"/>
    </row>
    <row r="14" spans="1:20" ht="18.75">
      <c r="A14" s="315" t="s">
        <v>5</v>
      </c>
      <c r="B14" s="408" t="s">
        <v>609</v>
      </c>
      <c r="C14" s="403"/>
      <c r="D14" s="403"/>
      <c r="E14" s="403"/>
      <c r="F14" s="403"/>
      <c r="G14" s="403"/>
      <c r="H14" s="519"/>
      <c r="I14" s="477">
        <f>+I15+I17</f>
        <v>6582000000</v>
      </c>
      <c r="J14" s="477">
        <f>+J15+J17</f>
        <v>1494349071</v>
      </c>
      <c r="K14" s="555">
        <f>+K15+K17</f>
        <v>1467799100</v>
      </c>
      <c r="L14" s="520">
        <f t="shared" si="1"/>
        <v>22.703571422060165</v>
      </c>
      <c r="M14" s="520">
        <f t="shared" si="2"/>
        <v>101.80882867416938</v>
      </c>
      <c r="N14" s="380" t="s">
        <v>658</v>
      </c>
      <c r="O14" s="381">
        <f>+I150+I296</f>
        <v>2889256740</v>
      </c>
      <c r="P14" s="381">
        <f>+J150+J296</f>
        <v>767278327</v>
      </c>
      <c r="Q14" s="381">
        <f>+K150+K296</f>
        <v>726495205</v>
      </c>
      <c r="R14" s="395">
        <f t="shared" si="13"/>
        <v>26.556252906759681</v>
      </c>
      <c r="S14" s="395">
        <f t="shared" si="14"/>
        <v>105.61368082257336</v>
      </c>
      <c r="T14" s="380"/>
    </row>
    <row r="15" spans="1:20" s="141" customFormat="1" ht="18.75">
      <c r="A15" s="315">
        <v>1</v>
      </c>
      <c r="B15" s="408" t="s">
        <v>598</v>
      </c>
      <c r="C15" s="123"/>
      <c r="D15" s="123"/>
      <c r="E15" s="123"/>
      <c r="F15" s="123"/>
      <c r="G15" s="123"/>
      <c r="H15" s="269"/>
      <c r="I15" s="477">
        <f>+I16</f>
        <v>5000000</v>
      </c>
      <c r="J15" s="477">
        <f>+J16</f>
        <v>3675000</v>
      </c>
      <c r="K15" s="555">
        <f>+K16</f>
        <v>0</v>
      </c>
      <c r="L15" s="521">
        <f t="shared" si="1"/>
        <v>73.5</v>
      </c>
      <c r="M15" s="521" t="e">
        <f t="shared" si="2"/>
        <v>#DIV/0!</v>
      </c>
      <c r="N15" s="267" t="s">
        <v>568</v>
      </c>
      <c r="O15" s="274">
        <f>+O16+O17</f>
        <v>5992200000</v>
      </c>
      <c r="P15" s="274">
        <f t="shared" ref="P15:Q15" si="15">+P16+P17</f>
        <v>1575204893</v>
      </c>
      <c r="Q15" s="274">
        <f t="shared" si="15"/>
        <v>1577562324</v>
      </c>
      <c r="R15" s="382">
        <f>+P15/O15*100</f>
        <v>26.287588748706654</v>
      </c>
      <c r="S15" s="382">
        <f>+P15/Q15*100</f>
        <v>99.850564953020509</v>
      </c>
    </row>
    <row r="16" spans="1:20" ht="37.5">
      <c r="A16" s="410"/>
      <c r="B16" s="409" t="s">
        <v>23</v>
      </c>
      <c r="C16" s="123"/>
      <c r="D16" s="123"/>
      <c r="E16" s="123"/>
      <c r="F16" s="123"/>
      <c r="G16" s="123"/>
      <c r="H16" s="269"/>
      <c r="I16" s="476">
        <f>+I9</f>
        <v>5000000</v>
      </c>
      <c r="J16" s="476">
        <f>+J9</f>
        <v>3675000</v>
      </c>
      <c r="K16" s="468">
        <f>+K9</f>
        <v>0</v>
      </c>
      <c r="L16" s="518">
        <f t="shared" si="1"/>
        <v>73.5</v>
      </c>
      <c r="M16" s="518" t="e">
        <f t="shared" si="2"/>
        <v>#DIV/0!</v>
      </c>
      <c r="N16" s="380" t="s">
        <v>657</v>
      </c>
      <c r="O16" s="381">
        <f>+I309</f>
        <v>2091000000</v>
      </c>
      <c r="P16" s="381">
        <f t="shared" ref="P16:Q16" si="16">+J309</f>
        <v>573932833</v>
      </c>
      <c r="Q16" s="381">
        <f t="shared" si="16"/>
        <v>451396716</v>
      </c>
      <c r="R16" s="395">
        <f t="shared" ref="R16:R17" si="17">+P16/O16*100</f>
        <v>27.447768197034911</v>
      </c>
      <c r="S16" s="395">
        <f t="shared" ref="S16:S17" si="18">+P16/Q16*100</f>
        <v>127.14599212990288</v>
      </c>
    </row>
    <row r="17" spans="1:27" ht="18.75">
      <c r="A17" s="315">
        <v>2</v>
      </c>
      <c r="B17" s="408" t="s">
        <v>599</v>
      </c>
      <c r="C17" s="123"/>
      <c r="D17" s="123"/>
      <c r="E17" s="123"/>
      <c r="F17" s="123"/>
      <c r="G17" s="123"/>
      <c r="H17" s="269"/>
      <c r="I17" s="477">
        <f>+I18+I19+I20</f>
        <v>6577000000</v>
      </c>
      <c r="J17" s="477">
        <f>+J18+J19+J20</f>
        <v>1490674071</v>
      </c>
      <c r="K17" s="555">
        <f>+K18+K19+K20</f>
        <v>1467799100</v>
      </c>
      <c r="L17" s="518">
        <f t="shared" si="1"/>
        <v>22.664954705792915</v>
      </c>
      <c r="M17" s="518">
        <f t="shared" si="2"/>
        <v>101.55845381019786</v>
      </c>
      <c r="N17" s="380" t="s">
        <v>658</v>
      </c>
      <c r="O17" s="381">
        <f>+I318+I107</f>
        <v>3901200000</v>
      </c>
      <c r="P17" s="381">
        <f>+J318+J107</f>
        <v>1001272060</v>
      </c>
      <c r="Q17" s="381">
        <f>+K318+K107</f>
        <v>1126165608</v>
      </c>
      <c r="R17" s="395">
        <f t="shared" si="17"/>
        <v>25.665745411668205</v>
      </c>
      <c r="S17" s="395">
        <f t="shared" si="18"/>
        <v>88.909841757483335</v>
      </c>
    </row>
    <row r="18" spans="1:27" ht="18.75">
      <c r="A18" s="315"/>
      <c r="B18" s="409" t="s">
        <v>600</v>
      </c>
      <c r="C18" s="522"/>
      <c r="D18" s="522"/>
      <c r="E18" s="522"/>
      <c r="F18" s="522"/>
      <c r="G18" s="522"/>
      <c r="H18" s="523"/>
      <c r="I18" s="476">
        <f t="shared" ref="I18:K20" si="19">+I11</f>
        <v>40000000</v>
      </c>
      <c r="J18" s="476">
        <f t="shared" si="19"/>
        <v>37068621</v>
      </c>
      <c r="K18" s="468">
        <f t="shared" si="19"/>
        <v>77263800</v>
      </c>
      <c r="L18" s="520">
        <f t="shared" si="1"/>
        <v>92.671552500000004</v>
      </c>
      <c r="M18" s="520">
        <f t="shared" si="2"/>
        <v>47.976699308084768</v>
      </c>
      <c r="N18" s="268" t="s">
        <v>569</v>
      </c>
      <c r="O18" s="141">
        <f>+I68</f>
        <v>40000000</v>
      </c>
      <c r="P18" s="141">
        <f t="shared" ref="P18:Q18" si="20">+J68</f>
        <v>37068621</v>
      </c>
      <c r="Q18" s="141">
        <f t="shared" si="20"/>
        <v>77263800</v>
      </c>
      <c r="R18" s="382">
        <f>+P18/O18*100</f>
        <v>92.671552500000004</v>
      </c>
      <c r="S18" s="382">
        <f>+P18/Q18*100</f>
        <v>47.976699308084768</v>
      </c>
    </row>
    <row r="19" spans="1:27" s="141" customFormat="1" ht="18.75">
      <c r="A19" s="315"/>
      <c r="B19" s="409" t="s">
        <v>22</v>
      </c>
      <c r="C19" s="123"/>
      <c r="D19" s="123"/>
      <c r="E19" s="123"/>
      <c r="F19" s="123"/>
      <c r="G19" s="123"/>
      <c r="H19" s="269"/>
      <c r="I19" s="476">
        <f t="shared" si="19"/>
        <v>6292000000</v>
      </c>
      <c r="J19" s="476">
        <f t="shared" si="19"/>
        <v>1361354300</v>
      </c>
      <c r="K19" s="468">
        <f t="shared" si="19"/>
        <v>1346635300</v>
      </c>
      <c r="L19" s="518">
        <f t="shared" si="1"/>
        <v>21.636273045136679</v>
      </c>
      <c r="M19" s="518">
        <f t="shared" si="2"/>
        <v>101.09302050822519</v>
      </c>
      <c r="N19" s="268" t="s">
        <v>570</v>
      </c>
      <c r="O19" s="129">
        <f>+I111+I196+I254</f>
        <v>1221000000</v>
      </c>
      <c r="P19" s="129">
        <f>+J111+J196+J254</f>
        <v>340109220</v>
      </c>
      <c r="Q19" s="129">
        <f>+K111+K196+K254</f>
        <v>164355612</v>
      </c>
      <c r="R19" s="382">
        <f>+P19/O19*100</f>
        <v>27.854972972972973</v>
      </c>
      <c r="S19" s="382">
        <f>+P19/Q19*100</f>
        <v>206.93496003044908</v>
      </c>
    </row>
    <row r="20" spans="1:27" s="141" customFormat="1" ht="37.5">
      <c r="A20" s="410"/>
      <c r="B20" s="409" t="s">
        <v>601</v>
      </c>
      <c r="C20" s="522"/>
      <c r="D20" s="522"/>
      <c r="E20" s="522"/>
      <c r="F20" s="522"/>
      <c r="G20" s="522"/>
      <c r="H20" s="523"/>
      <c r="I20" s="476">
        <f t="shared" si="19"/>
        <v>245000000</v>
      </c>
      <c r="J20" s="476">
        <f t="shared" si="19"/>
        <v>92251150</v>
      </c>
      <c r="K20" s="468">
        <f t="shared" si="19"/>
        <v>43900000</v>
      </c>
      <c r="L20" s="520">
        <f t="shared" si="1"/>
        <v>37.653530612244893</v>
      </c>
      <c r="M20" s="520">
        <f t="shared" si="2"/>
        <v>210.13929384965832</v>
      </c>
      <c r="N20" s="267" t="s">
        <v>571</v>
      </c>
      <c r="O20" s="274">
        <f>+I62+I103+I137+I177+I224+I279+I304+I321</f>
        <v>30463288800</v>
      </c>
      <c r="P20" s="274">
        <f>+J62+J103+J137+J177+J224+J279+J304+J321</f>
        <v>10636638603</v>
      </c>
      <c r="Q20" s="274">
        <f>+K62+K103+K137+K177+K224+K279+K304+K321</f>
        <v>10489235056</v>
      </c>
      <c r="R20" s="382">
        <f>+P20/O20*100</f>
        <v>34.916251731165673</v>
      </c>
      <c r="S20" s="382">
        <f>+P20/Q20*100</f>
        <v>101.4052840480077</v>
      </c>
      <c r="T20" s="274"/>
    </row>
    <row r="21" spans="1:27" ht="18.75">
      <c r="A21" s="406" t="s">
        <v>68</v>
      </c>
      <c r="B21" s="407" t="s">
        <v>610</v>
      </c>
      <c r="C21" s="522"/>
      <c r="D21" s="522"/>
      <c r="E21" s="522"/>
      <c r="F21" s="522"/>
      <c r="G21" s="522"/>
      <c r="H21" s="523"/>
      <c r="I21" s="479">
        <f t="shared" ref="I21:K21" si="21">+I22+I51+I62</f>
        <v>114214127322</v>
      </c>
      <c r="J21" s="479">
        <f t="shared" si="21"/>
        <v>38524862972.75</v>
      </c>
      <c r="K21" s="469">
        <f t="shared" si="21"/>
        <v>28930405055</v>
      </c>
      <c r="L21" s="520">
        <f t="shared" si="1"/>
        <v>33.730383338777493</v>
      </c>
      <c r="M21" s="520">
        <f t="shared" si="2"/>
        <v>133.16392528728801</v>
      </c>
      <c r="N21" s="141" t="s">
        <v>572</v>
      </c>
      <c r="O21" s="141">
        <f>+I77</f>
        <v>40000000</v>
      </c>
      <c r="P21" s="141">
        <f t="shared" ref="P21:Q21" si="22">+J77</f>
        <v>37068621</v>
      </c>
      <c r="Q21" s="141">
        <f t="shared" si="22"/>
        <v>77263800</v>
      </c>
      <c r="R21" s="382">
        <f>+P21/O21*100</f>
        <v>92.671552500000004</v>
      </c>
      <c r="S21" s="382">
        <f>+P21/Q21*100</f>
        <v>47.976699308084768</v>
      </c>
      <c r="AA21" s="129"/>
    </row>
    <row r="22" spans="1:27" s="141" customFormat="1" ht="18.75">
      <c r="A22" s="411" t="s">
        <v>3</v>
      </c>
      <c r="B22" s="412" t="s">
        <v>664</v>
      </c>
      <c r="C22" s="123"/>
      <c r="D22" s="123"/>
      <c r="E22" s="123"/>
      <c r="F22" s="123"/>
      <c r="G22" s="123"/>
      <c r="H22" s="269"/>
      <c r="I22" s="480">
        <f>+I23+I26+I39+I42+I45+I48</f>
        <v>102229543822</v>
      </c>
      <c r="J22" s="480">
        <f>+J23+J26+J39+J42+J45+J48</f>
        <v>32848831662.75</v>
      </c>
      <c r="K22" s="470">
        <f>+K23+K26+K39+K42+K45+K48</f>
        <v>27618788881</v>
      </c>
      <c r="L22" s="518">
        <f t="shared" si="1"/>
        <v>32.132425162676768</v>
      </c>
      <c r="M22" s="518">
        <f t="shared" si="2"/>
        <v>118.93653919541687</v>
      </c>
      <c r="N22" s="128" t="s">
        <v>573</v>
      </c>
      <c r="O22" s="129">
        <f>+I70</f>
        <v>6297000000</v>
      </c>
      <c r="P22" s="129">
        <f t="shared" ref="P22:Q22" si="23">+J70</f>
        <v>1365029300</v>
      </c>
      <c r="Q22" s="129">
        <f t="shared" si="23"/>
        <v>1346635300</v>
      </c>
      <c r="R22" s="382">
        <f>+P22/O22*100</f>
        <v>21.677454343338098</v>
      </c>
      <c r="S22" s="382">
        <f>+P22/Q22*100</f>
        <v>101.36592290429338</v>
      </c>
    </row>
    <row r="23" spans="1:27" s="141" customFormat="1" ht="18.75">
      <c r="A23" s="413">
        <v>1</v>
      </c>
      <c r="B23" s="414" t="s">
        <v>606</v>
      </c>
      <c r="C23" s="403"/>
      <c r="D23" s="403"/>
      <c r="E23" s="403"/>
      <c r="F23" s="403"/>
      <c r="G23" s="403"/>
      <c r="H23" s="519"/>
      <c r="I23" s="481">
        <f>+I24+I25</f>
        <v>40983478931</v>
      </c>
      <c r="J23" s="481">
        <f>+J24+J25</f>
        <v>9640497917.75</v>
      </c>
      <c r="K23" s="471">
        <f>+K24+K25</f>
        <v>10224316234</v>
      </c>
      <c r="L23" s="520">
        <f t="shared" si="1"/>
        <v>23.522888171550278</v>
      </c>
      <c r="M23" s="520">
        <f t="shared" si="2"/>
        <v>94.289903570191157</v>
      </c>
      <c r="N23" s="277" t="s">
        <v>575</v>
      </c>
      <c r="O23" s="278">
        <f>+O6+O9+O12+O15+O18+O19+O20+O21+O22</f>
        <v>95683313042</v>
      </c>
      <c r="P23" s="278">
        <f t="shared" ref="P23:Q23" si="24">+P6+P9+P12+P15+P18+P19+P20+P21+P22</f>
        <v>29841187463.75</v>
      </c>
      <c r="Q23" s="278">
        <f t="shared" si="24"/>
        <v>30797117458</v>
      </c>
      <c r="R23" s="383">
        <f t="shared" ref="R23" si="25">+P23/O23*100</f>
        <v>31.187452142936639</v>
      </c>
      <c r="S23" s="383">
        <f t="shared" ref="S23" si="26">+P23/Q23*100</f>
        <v>96.896040690971603</v>
      </c>
    </row>
    <row r="24" spans="1:27" s="145" customFormat="1" ht="18.75">
      <c r="A24" s="410"/>
      <c r="B24" s="409" t="s">
        <v>665</v>
      </c>
      <c r="C24" s="404"/>
      <c r="D24" s="404"/>
      <c r="E24" s="404"/>
      <c r="F24" s="404"/>
      <c r="G24" s="404"/>
      <c r="H24" s="524"/>
      <c r="I24" s="476">
        <f>I89+I151+I189+I248+I306</f>
        <v>30713900655</v>
      </c>
      <c r="J24" s="476">
        <f>+J89+J151+J189+J248+J306</f>
        <v>6366907315.75</v>
      </c>
      <c r="K24" s="468">
        <f>+K89+K151+K189+K248+K306</f>
        <v>6578886367</v>
      </c>
      <c r="L24" s="525">
        <f t="shared" si="1"/>
        <v>20.72972556389875</v>
      </c>
      <c r="M24" s="525">
        <f t="shared" si="2"/>
        <v>96.777888544886608</v>
      </c>
      <c r="N24" s="275" t="s">
        <v>574</v>
      </c>
      <c r="O24" s="276">
        <f>+O25+O26</f>
        <v>9314434526</v>
      </c>
      <c r="P24" s="276">
        <f t="shared" ref="P24:Q24" si="27">+P25+P26</f>
        <v>2783182545</v>
      </c>
      <c r="Q24" s="276">
        <f t="shared" si="27"/>
        <v>2641142069</v>
      </c>
      <c r="R24" s="384">
        <f>+P24/O24*100</f>
        <v>29.880316805396156</v>
      </c>
      <c r="S24" s="384">
        <f>+P24/Q24*100</f>
        <v>105.37799452998679</v>
      </c>
      <c r="T24" s="272"/>
      <c r="AA24" s="272"/>
    </row>
    <row r="25" spans="1:27" s="145" customFormat="1" ht="18.75">
      <c r="A25" s="410"/>
      <c r="B25" s="409" t="s">
        <v>608</v>
      </c>
      <c r="C25" s="526"/>
      <c r="D25" s="526"/>
      <c r="E25" s="526"/>
      <c r="F25" s="526"/>
      <c r="G25" s="526"/>
      <c r="H25" s="527"/>
      <c r="I25" s="476">
        <f>I100+I124+I127+I161+I168+I171+I200+I217+I219+I270+I258+I316+I326+I367+I422</f>
        <v>10269578276</v>
      </c>
      <c r="J25" s="476">
        <f>+J100+J124+J127+J161+J168+J171+J200+J217+J258+J270+J316+J368+J423</f>
        <v>3273590602</v>
      </c>
      <c r="K25" s="468">
        <f>+K100+K124+K127+K161+K168+K171+K200+K217+K258+K270+K316+K368+K423</f>
        <v>3645429867</v>
      </c>
      <c r="L25" s="528">
        <f t="shared" si="1"/>
        <v>31.876582601745003</v>
      </c>
      <c r="M25" s="528">
        <f t="shared" si="2"/>
        <v>89.799851360026167</v>
      </c>
      <c r="N25" s="506" t="s">
        <v>659</v>
      </c>
      <c r="O25" s="272">
        <f>+I386</f>
        <v>700500000</v>
      </c>
      <c r="P25" s="272">
        <f t="shared" ref="P25:Q25" si="28">+J386</f>
        <v>197964000</v>
      </c>
      <c r="Q25" s="272">
        <f t="shared" si="28"/>
        <v>152280000</v>
      </c>
      <c r="R25" s="384">
        <f t="shared" ref="R25:R27" si="29">+P25/O25*100</f>
        <v>28.260385438972165</v>
      </c>
      <c r="S25" s="384">
        <f t="shared" ref="S25:S27" si="30">+P25/Q25*100</f>
        <v>130</v>
      </c>
    </row>
    <row r="26" spans="1:27" s="147" customFormat="1" ht="18.75">
      <c r="A26" s="413">
        <v>2</v>
      </c>
      <c r="B26" s="414" t="s">
        <v>666</v>
      </c>
      <c r="C26" s="529"/>
      <c r="D26" s="529"/>
      <c r="E26" s="529"/>
      <c r="F26" s="529"/>
      <c r="G26" s="529"/>
      <c r="H26" s="530"/>
      <c r="I26" s="481">
        <f>+I27+I30+I33+I36</f>
        <v>60199424891</v>
      </c>
      <c r="J26" s="481">
        <f>+J27+J30+J33+J36</f>
        <v>23152677041</v>
      </c>
      <c r="K26" s="471">
        <f>+K27+K30+K33+K36</f>
        <v>17147966958</v>
      </c>
      <c r="L26" s="531">
        <f t="shared" si="1"/>
        <v>38.459963833410967</v>
      </c>
      <c r="M26" s="531">
        <f t="shared" si="2"/>
        <v>135.01703786639638</v>
      </c>
      <c r="N26" s="506" t="s">
        <v>660</v>
      </c>
      <c r="O26" s="226">
        <f>+O27+O28</f>
        <v>8613934526</v>
      </c>
      <c r="P26" s="226">
        <f t="shared" ref="P26:Q26" si="31">+P27+P28</f>
        <v>2585218545</v>
      </c>
      <c r="Q26" s="226">
        <f t="shared" si="31"/>
        <v>2488862069</v>
      </c>
      <c r="R26" s="384">
        <f t="shared" si="29"/>
        <v>30.012052415732516</v>
      </c>
      <c r="S26" s="384">
        <f t="shared" si="30"/>
        <v>103.87150727234615</v>
      </c>
    </row>
    <row r="27" spans="1:27" ht="18.75">
      <c r="A27" s="315" t="s">
        <v>14</v>
      </c>
      <c r="B27" s="408" t="s">
        <v>667</v>
      </c>
      <c r="C27" s="532">
        <v>1030253</v>
      </c>
      <c r="D27" s="532">
        <v>412</v>
      </c>
      <c r="E27" s="532"/>
      <c r="F27" s="532"/>
      <c r="G27" s="532"/>
      <c r="H27" s="533"/>
      <c r="I27" s="477">
        <f>+I28+I29</f>
        <v>38262630675</v>
      </c>
      <c r="J27" s="477">
        <f>+J28+J29</f>
        <v>13217555388</v>
      </c>
      <c r="K27" s="555">
        <f>+K28+K29</f>
        <v>13035170387</v>
      </c>
      <c r="L27" s="534">
        <f t="shared" si="1"/>
        <v>34.544293360979154</v>
      </c>
      <c r="M27" s="534">
        <f t="shared" si="2"/>
        <v>101.39917619474997</v>
      </c>
      <c r="N27" s="506" t="s">
        <v>661</v>
      </c>
      <c r="O27" s="129">
        <f>+I331</f>
        <v>31500000</v>
      </c>
      <c r="P27" s="129">
        <f t="shared" ref="P27:Q27" si="32">+J331</f>
        <v>0</v>
      </c>
      <c r="Q27" s="129">
        <f t="shared" si="32"/>
        <v>0</v>
      </c>
      <c r="R27" s="384">
        <f t="shared" si="29"/>
        <v>0</v>
      </c>
      <c r="S27" s="384" t="e">
        <f t="shared" si="30"/>
        <v>#DIV/0!</v>
      </c>
    </row>
    <row r="28" spans="1:27" ht="18.75">
      <c r="A28" s="410"/>
      <c r="B28" s="409" t="s">
        <v>607</v>
      </c>
      <c r="C28" s="123">
        <v>1030253</v>
      </c>
      <c r="D28" s="123">
        <v>412</v>
      </c>
      <c r="E28" s="123">
        <v>340</v>
      </c>
      <c r="F28" s="123">
        <v>13</v>
      </c>
      <c r="G28" s="123"/>
      <c r="H28" s="269"/>
      <c r="I28" s="476">
        <f>+I276+I333+I370</f>
        <v>17096546675</v>
      </c>
      <c r="J28" s="476">
        <f>+J276+J333+J370</f>
        <v>3828789771</v>
      </c>
      <c r="K28" s="468">
        <f>+K276+K333+K370</f>
        <v>4101273413</v>
      </c>
      <c r="L28" s="518">
        <f t="shared" si="1"/>
        <v>22.395106121628508</v>
      </c>
      <c r="M28" s="518">
        <f t="shared" si="2"/>
        <v>93.356121024843262</v>
      </c>
      <c r="N28" s="506" t="s">
        <v>662</v>
      </c>
      <c r="O28" s="129">
        <f>+I338+I351+I356+I361+I367+I372+I381</f>
        <v>8582434526</v>
      </c>
      <c r="P28" s="129">
        <f t="shared" ref="P28:Q28" si="33">+J338+J351+J356+J361+J367+J372+J381</f>
        <v>2585218545</v>
      </c>
      <c r="Q28" s="129">
        <f t="shared" si="33"/>
        <v>2488862069</v>
      </c>
    </row>
    <row r="29" spans="1:27" s="152" customFormat="1" ht="18.75">
      <c r="A29" s="410"/>
      <c r="B29" s="409" t="s">
        <v>608</v>
      </c>
      <c r="C29" s="123"/>
      <c r="D29" s="123"/>
      <c r="E29" s="123"/>
      <c r="F29" s="123"/>
      <c r="G29" s="123"/>
      <c r="H29" s="269"/>
      <c r="I29" s="476">
        <f>+I135+I285+I298+I342+I380</f>
        <v>21166084000</v>
      </c>
      <c r="J29" s="476">
        <f>+J135+J285+J298+J342+J380</f>
        <v>9388765617</v>
      </c>
      <c r="K29" s="468">
        <f>+K135+K285+K298+K342+K380</f>
        <v>8933896974</v>
      </c>
      <c r="L29" s="520">
        <f t="shared" si="1"/>
        <v>44.357594049990539</v>
      </c>
      <c r="M29" s="520">
        <f t="shared" si="2"/>
        <v>105.09149192478699</v>
      </c>
      <c r="R29" s="388"/>
      <c r="S29" s="388"/>
    </row>
    <row r="30" spans="1:27" ht="18.75">
      <c r="A30" s="315" t="s">
        <v>15</v>
      </c>
      <c r="B30" s="408" t="s">
        <v>668</v>
      </c>
      <c r="C30" s="123">
        <v>1030253</v>
      </c>
      <c r="D30" s="123">
        <v>412</v>
      </c>
      <c r="E30" s="123">
        <v>341</v>
      </c>
      <c r="F30" s="123">
        <v>13</v>
      </c>
      <c r="G30" s="123"/>
      <c r="H30" s="269">
        <v>200</v>
      </c>
      <c r="I30" s="477">
        <f>+I31+I32</f>
        <v>14150794216</v>
      </c>
      <c r="J30" s="477">
        <f>+J31+J32</f>
        <v>9009392710</v>
      </c>
      <c r="K30" s="555">
        <f>+K31+K32</f>
        <v>2788763293</v>
      </c>
      <c r="L30" s="518">
        <f t="shared" si="1"/>
        <v>63.667046333083356</v>
      </c>
      <c r="M30" s="518">
        <f t="shared" si="2"/>
        <v>323.06050257525391</v>
      </c>
    </row>
    <row r="31" spans="1:27" ht="18.75">
      <c r="A31" s="410"/>
      <c r="B31" s="409" t="s">
        <v>607</v>
      </c>
      <c r="C31" s="522"/>
      <c r="D31" s="522"/>
      <c r="E31" s="522"/>
      <c r="F31" s="522"/>
      <c r="G31" s="522"/>
      <c r="H31" s="523"/>
      <c r="I31" s="476">
        <f>+I227+I401</f>
        <v>6505106776</v>
      </c>
      <c r="J31" s="476">
        <f>+J227+J401</f>
        <v>4435127010</v>
      </c>
      <c r="K31" s="468">
        <f>+K227+K401</f>
        <v>1313559235</v>
      </c>
      <c r="L31" s="520">
        <f t="shared" si="1"/>
        <v>68.179157740546216</v>
      </c>
      <c r="M31" s="520">
        <f t="shared" si="2"/>
        <v>337.64194958440532</v>
      </c>
      <c r="N31" s="129">
        <f>+I27+I330</f>
        <v>38264030675</v>
      </c>
    </row>
    <row r="32" spans="1:27" ht="18.75">
      <c r="A32" s="410"/>
      <c r="B32" s="409" t="s">
        <v>608</v>
      </c>
      <c r="C32" s="403"/>
      <c r="D32" s="403"/>
      <c r="E32" s="403"/>
      <c r="F32" s="403"/>
      <c r="G32" s="403"/>
      <c r="H32" s="519"/>
      <c r="I32" s="476">
        <f>+I237+I410</f>
        <v>7645687440</v>
      </c>
      <c r="J32" s="476">
        <f>+J237+J410</f>
        <v>4574265700</v>
      </c>
      <c r="K32" s="468">
        <f>+K237+K410</f>
        <v>1475204058</v>
      </c>
      <c r="L32" s="520">
        <f t="shared" ref="L32:L96" si="34">+J32/I32*100</f>
        <v>59.828049941837534</v>
      </c>
      <c r="M32" s="520">
        <f t="shared" ref="M32:M96" si="35">+J32/K32*100</f>
        <v>310.07681108209096</v>
      </c>
    </row>
    <row r="33" spans="1:19" ht="18.75">
      <c r="A33" s="315" t="s">
        <v>24</v>
      </c>
      <c r="B33" s="408" t="s">
        <v>669</v>
      </c>
      <c r="C33" s="403"/>
      <c r="D33" s="403"/>
      <c r="E33" s="403"/>
      <c r="F33" s="403"/>
      <c r="G33" s="403"/>
      <c r="H33" s="519"/>
      <c r="I33" s="477">
        <f>+I34+I35</f>
        <v>7386000000</v>
      </c>
      <c r="J33" s="477">
        <f>+J34+J35</f>
        <v>632770263</v>
      </c>
      <c r="K33" s="555">
        <f>+K34+K35</f>
        <v>1072248308</v>
      </c>
      <c r="L33" s="520">
        <f t="shared" si="34"/>
        <v>8.567157636068238</v>
      </c>
      <c r="M33" s="520">
        <f t="shared" si="35"/>
        <v>59.013407461585842</v>
      </c>
      <c r="O33" s="129">
        <f>+N31+N80+N114+N158+N200+N258+N283+I307</f>
        <v>51684855751</v>
      </c>
    </row>
    <row r="34" spans="1:19" ht="18" customHeight="1">
      <c r="A34" s="410"/>
      <c r="B34" s="409" t="s">
        <v>607</v>
      </c>
      <c r="C34" s="522"/>
      <c r="D34" s="522"/>
      <c r="E34" s="522"/>
      <c r="F34" s="522"/>
      <c r="G34" s="522"/>
      <c r="H34" s="523"/>
      <c r="I34" s="476">
        <f t="shared" ref="I34:K34" si="36">+I425</f>
        <v>738000000</v>
      </c>
      <c r="J34" s="476">
        <f t="shared" si="36"/>
        <v>158351580</v>
      </c>
      <c r="K34" s="468">
        <f t="shared" si="36"/>
        <v>204167955</v>
      </c>
      <c r="L34" s="520">
        <f t="shared" si="34"/>
        <v>21.456853658536584</v>
      </c>
      <c r="M34" s="520">
        <f t="shared" si="35"/>
        <v>77.55946813494802</v>
      </c>
    </row>
    <row r="35" spans="1:19" ht="18" customHeight="1">
      <c r="A35" s="410"/>
      <c r="B35" s="409" t="s">
        <v>608</v>
      </c>
      <c r="C35" s="522"/>
      <c r="D35" s="522"/>
      <c r="E35" s="522"/>
      <c r="F35" s="522"/>
      <c r="G35" s="522"/>
      <c r="H35" s="523"/>
      <c r="I35" s="476">
        <f>+I177+I432+I439</f>
        <v>6648000000</v>
      </c>
      <c r="J35" s="476">
        <f t="shared" ref="J35:K35" si="37">+J177+J432+J439</f>
        <v>474418683</v>
      </c>
      <c r="K35" s="476">
        <f t="shared" si="37"/>
        <v>868080353</v>
      </c>
      <c r="L35" s="520">
        <f t="shared" si="34"/>
        <v>7.1362617779783397</v>
      </c>
      <c r="M35" s="520">
        <f t="shared" si="35"/>
        <v>54.651471071825995</v>
      </c>
    </row>
    <row r="36" spans="1:19" ht="18" customHeight="1">
      <c r="A36" s="315" t="s">
        <v>313</v>
      </c>
      <c r="B36" s="408" t="s">
        <v>670</v>
      </c>
      <c r="C36" s="123">
        <v>1030253</v>
      </c>
      <c r="D36" s="123">
        <v>412</v>
      </c>
      <c r="E36" s="123">
        <v>341</v>
      </c>
      <c r="F36" s="123">
        <v>14</v>
      </c>
      <c r="G36" s="123"/>
      <c r="H36" s="269">
        <v>200</v>
      </c>
      <c r="I36" s="477">
        <f>+I37+I38</f>
        <v>400000000</v>
      </c>
      <c r="J36" s="477">
        <f>+J37+J38</f>
        <v>292958680</v>
      </c>
      <c r="K36" s="555">
        <f>+K37+K38</f>
        <v>251784970</v>
      </c>
      <c r="L36" s="520">
        <f t="shared" si="34"/>
        <v>73.239670000000004</v>
      </c>
      <c r="M36" s="520">
        <f t="shared" si="35"/>
        <v>116.35272748806254</v>
      </c>
    </row>
    <row r="37" spans="1:19" ht="18" customHeight="1">
      <c r="A37" s="410"/>
      <c r="B37" s="409" t="s">
        <v>607</v>
      </c>
      <c r="C37" s="123"/>
      <c r="D37" s="123"/>
      <c r="E37" s="123"/>
      <c r="F37" s="123"/>
      <c r="G37" s="123"/>
      <c r="H37" s="269"/>
      <c r="I37" s="476"/>
      <c r="J37" s="476"/>
      <c r="K37" s="468"/>
      <c r="L37" s="521" t="e">
        <f t="shared" si="34"/>
        <v>#DIV/0!</v>
      </c>
      <c r="M37" s="521" t="e">
        <f t="shared" si="35"/>
        <v>#DIV/0!</v>
      </c>
    </row>
    <row r="38" spans="1:19" ht="18.75">
      <c r="A38" s="410"/>
      <c r="B38" s="409" t="s">
        <v>608</v>
      </c>
      <c r="C38" s="403"/>
      <c r="D38" s="403"/>
      <c r="E38" s="403"/>
      <c r="F38" s="522" t="s">
        <v>339</v>
      </c>
      <c r="G38" s="403"/>
      <c r="H38" s="519">
        <v>200</v>
      </c>
      <c r="I38" s="476">
        <f t="shared" ref="I38:K38" si="38">+I137+I185</f>
        <v>400000000</v>
      </c>
      <c r="J38" s="476">
        <f t="shared" si="38"/>
        <v>292958680</v>
      </c>
      <c r="K38" s="468">
        <f t="shared" si="38"/>
        <v>251784970</v>
      </c>
      <c r="L38" s="520">
        <f t="shared" si="34"/>
        <v>73.239670000000004</v>
      </c>
      <c r="M38" s="520">
        <f t="shared" si="35"/>
        <v>116.35272748806254</v>
      </c>
    </row>
    <row r="39" spans="1:19" s="152" customFormat="1" ht="18.75">
      <c r="A39" s="413">
        <v>3</v>
      </c>
      <c r="B39" s="414" t="s">
        <v>671</v>
      </c>
      <c r="C39" s="123">
        <v>1030253</v>
      </c>
      <c r="D39" s="123">
        <v>412</v>
      </c>
      <c r="E39" s="123">
        <v>341</v>
      </c>
      <c r="F39" s="123">
        <v>12</v>
      </c>
      <c r="G39" s="123"/>
      <c r="H39" s="269">
        <v>200</v>
      </c>
      <c r="I39" s="481">
        <f>+I40+I41</f>
        <v>178150000</v>
      </c>
      <c r="J39" s="481">
        <f>+J40+J41</f>
        <v>55656704</v>
      </c>
      <c r="K39" s="471">
        <f>+K40+K41</f>
        <v>246505689</v>
      </c>
      <c r="L39" s="520">
        <f t="shared" si="34"/>
        <v>31.241484142576482</v>
      </c>
      <c r="M39" s="520">
        <f t="shared" si="35"/>
        <v>22.578263498007949</v>
      </c>
      <c r="R39" s="388"/>
      <c r="S39" s="388"/>
    </row>
    <row r="40" spans="1:19" ht="18.75">
      <c r="A40" s="410"/>
      <c r="B40" s="409" t="s">
        <v>607</v>
      </c>
      <c r="C40" s="523"/>
      <c r="D40" s="523"/>
      <c r="E40" s="523"/>
      <c r="F40" s="523"/>
      <c r="G40" s="523"/>
      <c r="H40" s="523"/>
      <c r="I40" s="476"/>
      <c r="J40" s="476"/>
      <c r="K40" s="468"/>
      <c r="L40" s="521" t="e">
        <f t="shared" si="34"/>
        <v>#DIV/0!</v>
      </c>
      <c r="M40" s="521" t="e">
        <f t="shared" si="35"/>
        <v>#DIV/0!</v>
      </c>
    </row>
    <row r="41" spans="1:19" ht="18.75">
      <c r="A41" s="410"/>
      <c r="B41" s="409" t="s">
        <v>608</v>
      </c>
      <c r="C41" s="523"/>
      <c r="D41" s="523"/>
      <c r="E41" s="523"/>
      <c r="F41" s="523"/>
      <c r="G41" s="523"/>
      <c r="H41" s="523"/>
      <c r="I41" s="476">
        <f>+I301+I363+I181</f>
        <v>178150000</v>
      </c>
      <c r="J41" s="476">
        <f>+J301+J363+J181</f>
        <v>55656704</v>
      </c>
      <c r="K41" s="468">
        <f>+K301+K363+K181</f>
        <v>246505689</v>
      </c>
      <c r="L41" s="520">
        <f t="shared" si="34"/>
        <v>31.241484142576482</v>
      </c>
      <c r="M41" s="520">
        <f t="shared" si="35"/>
        <v>22.578263498007949</v>
      </c>
    </row>
    <row r="42" spans="1:19" s="141" customFormat="1" ht="18.75">
      <c r="A42" s="413">
        <v>4</v>
      </c>
      <c r="B42" s="414" t="s">
        <v>615</v>
      </c>
      <c r="C42" s="535"/>
      <c r="D42" s="535"/>
      <c r="E42" s="535"/>
      <c r="F42" s="535"/>
      <c r="G42" s="535"/>
      <c r="H42" s="535"/>
      <c r="I42" s="481">
        <f>+I43+I44</f>
        <v>250000000</v>
      </c>
      <c r="J42" s="481">
        <f>+J43+J44</f>
        <v>0</v>
      </c>
      <c r="K42" s="471">
        <f>+K43+K44</f>
        <v>0</v>
      </c>
      <c r="L42" s="520">
        <f t="shared" si="34"/>
        <v>0</v>
      </c>
      <c r="M42" s="521" t="e">
        <f t="shared" si="35"/>
        <v>#DIV/0!</v>
      </c>
      <c r="R42" s="385"/>
      <c r="S42" s="385"/>
    </row>
    <row r="43" spans="1:19" s="141" customFormat="1" ht="18.75">
      <c r="A43" s="415"/>
      <c r="B43" s="409" t="s">
        <v>607</v>
      </c>
      <c r="C43" s="535"/>
      <c r="D43" s="535"/>
      <c r="E43" s="535"/>
      <c r="F43" s="535"/>
      <c r="G43" s="535"/>
      <c r="H43" s="535"/>
      <c r="I43" s="476"/>
      <c r="J43" s="476"/>
      <c r="K43" s="468"/>
      <c r="L43" s="521" t="e">
        <f t="shared" si="34"/>
        <v>#DIV/0!</v>
      </c>
      <c r="M43" s="521" t="e">
        <f t="shared" si="35"/>
        <v>#DIV/0!</v>
      </c>
      <c r="R43" s="385"/>
      <c r="S43" s="385"/>
    </row>
    <row r="44" spans="1:19" s="141" customFormat="1" ht="18.75">
      <c r="A44" s="415"/>
      <c r="B44" s="409" t="s">
        <v>608</v>
      </c>
      <c r="C44" s="535"/>
      <c r="D44" s="535"/>
      <c r="E44" s="535"/>
      <c r="F44" s="535"/>
      <c r="G44" s="535"/>
      <c r="H44" s="535"/>
      <c r="I44" s="476">
        <f>+I146</f>
        <v>250000000</v>
      </c>
      <c r="J44" s="476">
        <f>+J146</f>
        <v>0</v>
      </c>
      <c r="K44" s="468">
        <f>+K146</f>
        <v>0</v>
      </c>
      <c r="L44" s="520">
        <f t="shared" si="34"/>
        <v>0</v>
      </c>
      <c r="M44" s="521" t="e">
        <f t="shared" si="35"/>
        <v>#DIV/0!</v>
      </c>
      <c r="R44" s="385"/>
      <c r="S44" s="385"/>
    </row>
    <row r="45" spans="1:19" s="141" customFormat="1" ht="18.75">
      <c r="A45" s="413">
        <v>5</v>
      </c>
      <c r="B45" s="414" t="s">
        <v>622</v>
      </c>
      <c r="C45" s="535"/>
      <c r="D45" s="535"/>
      <c r="E45" s="535"/>
      <c r="F45" s="535"/>
      <c r="G45" s="535"/>
      <c r="H45" s="535"/>
      <c r="I45" s="481">
        <f>+I46+I47</f>
        <v>282490000</v>
      </c>
      <c r="J45" s="481">
        <f>+J46+J47</f>
        <v>0</v>
      </c>
      <c r="K45" s="471">
        <f>+K46+K47</f>
        <v>0</v>
      </c>
      <c r="L45" s="521">
        <f t="shared" si="34"/>
        <v>0</v>
      </c>
      <c r="M45" s="521" t="e">
        <f t="shared" si="35"/>
        <v>#DIV/0!</v>
      </c>
      <c r="R45" s="385"/>
      <c r="S45" s="385"/>
    </row>
    <row r="46" spans="1:19" s="141" customFormat="1" ht="18.75">
      <c r="A46" s="415"/>
      <c r="B46" s="409" t="s">
        <v>607</v>
      </c>
      <c r="C46" s="535"/>
      <c r="D46" s="535"/>
      <c r="E46" s="535"/>
      <c r="F46" s="535"/>
      <c r="G46" s="535"/>
      <c r="H46" s="535"/>
      <c r="I46" s="476"/>
      <c r="J46" s="476"/>
      <c r="K46" s="468"/>
      <c r="L46" s="521" t="e">
        <f t="shared" si="34"/>
        <v>#DIV/0!</v>
      </c>
      <c r="M46" s="521" t="e">
        <f t="shared" si="35"/>
        <v>#DIV/0!</v>
      </c>
      <c r="R46" s="385"/>
      <c r="S46" s="385"/>
    </row>
    <row r="47" spans="1:19" s="141" customFormat="1" ht="18.75">
      <c r="A47" s="415"/>
      <c r="B47" s="409" t="s">
        <v>608</v>
      </c>
      <c r="C47" s="535"/>
      <c r="D47" s="535"/>
      <c r="E47" s="535"/>
      <c r="F47" s="535"/>
      <c r="G47" s="535"/>
      <c r="H47" s="535"/>
      <c r="I47" s="476">
        <f>+I139</f>
        <v>282490000</v>
      </c>
      <c r="J47" s="476">
        <f>+J139</f>
        <v>0</v>
      </c>
      <c r="K47" s="468">
        <f>+K139</f>
        <v>0</v>
      </c>
      <c r="L47" s="521">
        <f t="shared" si="34"/>
        <v>0</v>
      </c>
      <c r="M47" s="521" t="e">
        <f t="shared" si="35"/>
        <v>#DIV/0!</v>
      </c>
      <c r="R47" s="385"/>
      <c r="S47" s="385"/>
    </row>
    <row r="48" spans="1:19" s="141" customFormat="1" ht="18.75">
      <c r="A48" s="416">
        <v>6</v>
      </c>
      <c r="B48" s="414" t="s">
        <v>628</v>
      </c>
      <c r="C48" s="535"/>
      <c r="D48" s="535"/>
      <c r="E48" s="535"/>
      <c r="F48" s="535"/>
      <c r="G48" s="535"/>
      <c r="H48" s="535"/>
      <c r="I48" s="481">
        <f>+I49+I50</f>
        <v>336000000</v>
      </c>
      <c r="J48" s="481">
        <f>+J49+J50</f>
        <v>0</v>
      </c>
      <c r="K48" s="471">
        <f>+K49+K50</f>
        <v>0</v>
      </c>
      <c r="L48" s="520">
        <f t="shared" si="34"/>
        <v>0</v>
      </c>
      <c r="M48" s="520" t="e">
        <f t="shared" si="35"/>
        <v>#DIV/0!</v>
      </c>
      <c r="R48" s="385"/>
      <c r="S48" s="385"/>
    </row>
    <row r="49" spans="1:19" s="141" customFormat="1" ht="18.75">
      <c r="A49" s="415"/>
      <c r="B49" s="409" t="s">
        <v>607</v>
      </c>
      <c r="C49" s="536"/>
      <c r="D49" s="536"/>
      <c r="E49" s="536"/>
      <c r="F49" s="536"/>
      <c r="G49" s="536"/>
      <c r="H49" s="537"/>
      <c r="I49" s="476"/>
      <c r="J49" s="476"/>
      <c r="K49" s="468"/>
      <c r="L49" s="521" t="e">
        <f t="shared" si="34"/>
        <v>#DIV/0!</v>
      </c>
      <c r="M49" s="521" t="e">
        <f t="shared" si="35"/>
        <v>#DIV/0!</v>
      </c>
      <c r="R49" s="385"/>
      <c r="S49" s="385"/>
    </row>
    <row r="50" spans="1:19" s="141" customFormat="1" ht="18.75">
      <c r="A50" s="415"/>
      <c r="B50" s="409" t="s">
        <v>608</v>
      </c>
      <c r="C50" s="536"/>
      <c r="D50" s="536"/>
      <c r="E50" s="536"/>
      <c r="F50" s="536"/>
      <c r="G50" s="536"/>
      <c r="H50" s="537"/>
      <c r="I50" s="476">
        <f>+I131+I173+I222+I272+I328+I396+I418+I444</f>
        <v>336000000</v>
      </c>
      <c r="J50" s="476">
        <f>+J131+J173+J222+J272+J328+J396+J418+J444</f>
        <v>0</v>
      </c>
      <c r="K50" s="468">
        <f>+K131+K173+K222+K272+K328+K396+K418+K444</f>
        <v>0</v>
      </c>
      <c r="L50" s="520">
        <f t="shared" si="34"/>
        <v>0</v>
      </c>
      <c r="M50" s="520" t="e">
        <f t="shared" si="35"/>
        <v>#DIV/0!</v>
      </c>
      <c r="R50" s="385"/>
      <c r="S50" s="385"/>
    </row>
    <row r="51" spans="1:19" s="141" customFormat="1" ht="18.75">
      <c r="A51" s="417" t="s">
        <v>5</v>
      </c>
      <c r="B51" s="418" t="s">
        <v>672</v>
      </c>
      <c r="C51" s="536"/>
      <c r="D51" s="536"/>
      <c r="E51" s="536"/>
      <c r="F51" s="536"/>
      <c r="G51" s="536"/>
      <c r="H51" s="537"/>
      <c r="I51" s="480">
        <f>+I52+I55</f>
        <v>11864583500</v>
      </c>
      <c r="J51" s="480">
        <f>+J52+J55</f>
        <v>5676031310</v>
      </c>
      <c r="K51" s="470">
        <f>+K52+K55</f>
        <v>1311616174</v>
      </c>
      <c r="L51" s="520">
        <f t="shared" si="34"/>
        <v>47.840122748514517</v>
      </c>
      <c r="M51" s="520">
        <f t="shared" si="35"/>
        <v>432.75093907160073</v>
      </c>
      <c r="R51" s="385"/>
      <c r="S51" s="385"/>
    </row>
    <row r="52" spans="1:19" s="141" customFormat="1" ht="37.5">
      <c r="A52" s="416">
        <v>1</v>
      </c>
      <c r="B52" s="414" t="s">
        <v>673</v>
      </c>
      <c r="C52" s="536"/>
      <c r="D52" s="536"/>
      <c r="E52" s="536"/>
      <c r="F52" s="536"/>
      <c r="G52" s="536"/>
      <c r="H52" s="537"/>
      <c r="I52" s="481">
        <f>+I53+I54</f>
        <v>10861000000</v>
      </c>
      <c r="J52" s="481">
        <f>+J53+J54</f>
        <v>4861248960</v>
      </c>
      <c r="K52" s="471">
        <f>+K53+K54</f>
        <v>0</v>
      </c>
      <c r="L52" s="521">
        <f t="shared" si="34"/>
        <v>44.758760335144096</v>
      </c>
      <c r="M52" s="521" t="e">
        <f t="shared" si="35"/>
        <v>#DIV/0!</v>
      </c>
      <c r="R52" s="385"/>
      <c r="S52" s="385"/>
    </row>
    <row r="53" spans="1:19" s="141" customFormat="1" ht="18.75">
      <c r="A53" s="415"/>
      <c r="B53" s="409" t="s">
        <v>607</v>
      </c>
      <c r="C53" s="536"/>
      <c r="D53" s="536"/>
      <c r="E53" s="536"/>
      <c r="F53" s="536"/>
      <c r="G53" s="536"/>
      <c r="H53" s="537"/>
      <c r="I53" s="476"/>
      <c r="J53" s="476"/>
      <c r="K53" s="468"/>
      <c r="L53" s="521" t="e">
        <f t="shared" si="34"/>
        <v>#DIV/0!</v>
      </c>
      <c r="M53" s="521" t="e">
        <f t="shared" si="35"/>
        <v>#DIV/0!</v>
      </c>
      <c r="R53" s="385"/>
      <c r="S53" s="385"/>
    </row>
    <row r="54" spans="1:19" s="141" customFormat="1" ht="18.75">
      <c r="A54" s="415"/>
      <c r="B54" s="409" t="s">
        <v>608</v>
      </c>
      <c r="C54" s="536"/>
      <c r="D54" s="536"/>
      <c r="E54" s="536"/>
      <c r="F54" s="536"/>
      <c r="G54" s="536"/>
      <c r="H54" s="537"/>
      <c r="I54" s="476">
        <f t="shared" ref="I54:K54" si="39">+I508</f>
        <v>10861000000</v>
      </c>
      <c r="J54" s="476">
        <f t="shared" si="39"/>
        <v>4861248960</v>
      </c>
      <c r="K54" s="468">
        <f t="shared" si="39"/>
        <v>0</v>
      </c>
      <c r="L54" s="521">
        <f t="shared" si="34"/>
        <v>44.758760335144096</v>
      </c>
      <c r="M54" s="521" t="e">
        <f t="shared" si="35"/>
        <v>#DIV/0!</v>
      </c>
      <c r="R54" s="385"/>
      <c r="S54" s="385"/>
    </row>
    <row r="55" spans="1:19" s="141" customFormat="1" ht="18.75">
      <c r="A55" s="416">
        <v>2</v>
      </c>
      <c r="B55" s="414" t="s">
        <v>674</v>
      </c>
      <c r="C55" s="536"/>
      <c r="D55" s="536"/>
      <c r="E55" s="536"/>
      <c r="F55" s="536"/>
      <c r="G55" s="536"/>
      <c r="H55" s="537"/>
      <c r="I55" s="481">
        <f>+I56+I59</f>
        <v>1003583500</v>
      </c>
      <c r="J55" s="481">
        <f>+J56+J59</f>
        <v>814782350</v>
      </c>
      <c r="K55" s="471">
        <f>+K56+K59</f>
        <v>1311616174</v>
      </c>
      <c r="L55" s="520">
        <f t="shared" si="34"/>
        <v>81.187300309341467</v>
      </c>
      <c r="M55" s="520">
        <f t="shared" si="35"/>
        <v>62.120486629497748</v>
      </c>
      <c r="R55" s="385"/>
      <c r="S55" s="385"/>
    </row>
    <row r="56" spans="1:19" s="141" customFormat="1" ht="18.75">
      <c r="A56" s="419" t="s">
        <v>14</v>
      </c>
      <c r="B56" s="420" t="s">
        <v>498</v>
      </c>
      <c r="C56" s="536"/>
      <c r="D56" s="536"/>
      <c r="E56" s="536"/>
      <c r="F56" s="536"/>
      <c r="G56" s="536"/>
      <c r="H56" s="537"/>
      <c r="I56" s="477">
        <f>+I57+I58</f>
        <v>28000000</v>
      </c>
      <c r="J56" s="477">
        <f>+J57+J58</f>
        <v>13300000</v>
      </c>
      <c r="K56" s="555">
        <f>+K57+K58</f>
        <v>30000000</v>
      </c>
      <c r="L56" s="520">
        <f t="shared" si="34"/>
        <v>47.5</v>
      </c>
      <c r="M56" s="521">
        <f t="shared" si="35"/>
        <v>44.333333333333336</v>
      </c>
      <c r="R56" s="385"/>
      <c r="S56" s="385"/>
    </row>
    <row r="57" spans="1:19" s="141" customFormat="1" ht="18.75">
      <c r="A57" s="415"/>
      <c r="B57" s="409" t="s">
        <v>607</v>
      </c>
      <c r="C57" s="536"/>
      <c r="D57" s="536"/>
      <c r="E57" s="536"/>
      <c r="F57" s="536"/>
      <c r="G57" s="536"/>
      <c r="H57" s="537"/>
      <c r="I57" s="476"/>
      <c r="J57" s="476"/>
      <c r="K57" s="468"/>
      <c r="L57" s="521" t="e">
        <f t="shared" si="34"/>
        <v>#DIV/0!</v>
      </c>
      <c r="M57" s="521" t="e">
        <f t="shared" si="35"/>
        <v>#DIV/0!</v>
      </c>
      <c r="R57" s="385"/>
      <c r="S57" s="385"/>
    </row>
    <row r="58" spans="1:19" s="141" customFormat="1" ht="18.75">
      <c r="A58" s="415"/>
      <c r="B58" s="409" t="s">
        <v>608</v>
      </c>
      <c r="C58" s="536"/>
      <c r="D58" s="536"/>
      <c r="E58" s="536"/>
      <c r="F58" s="536"/>
      <c r="G58" s="536"/>
      <c r="H58" s="537"/>
      <c r="I58" s="476">
        <f t="shared" ref="I58:K58" si="40">+I452</f>
        <v>28000000</v>
      </c>
      <c r="J58" s="476">
        <f t="shared" si="40"/>
        <v>13300000</v>
      </c>
      <c r="K58" s="468">
        <f t="shared" si="40"/>
        <v>30000000</v>
      </c>
      <c r="L58" s="520">
        <f t="shared" si="34"/>
        <v>47.5</v>
      </c>
      <c r="M58" s="521">
        <f t="shared" si="35"/>
        <v>44.333333333333336</v>
      </c>
      <c r="R58" s="385"/>
      <c r="S58" s="385"/>
    </row>
    <row r="59" spans="1:19" s="268" customFormat="1" ht="37.5">
      <c r="A59" s="419" t="s">
        <v>15</v>
      </c>
      <c r="B59" s="420" t="s">
        <v>106</v>
      </c>
      <c r="C59" s="536"/>
      <c r="D59" s="536"/>
      <c r="E59" s="536"/>
      <c r="F59" s="536"/>
      <c r="G59" s="536"/>
      <c r="H59" s="537"/>
      <c r="I59" s="477">
        <f>+I60+I61</f>
        <v>975583500</v>
      </c>
      <c r="J59" s="477">
        <f>+J60+J61</f>
        <v>801482350</v>
      </c>
      <c r="K59" s="555">
        <f>+K60+K61</f>
        <v>1281616174</v>
      </c>
      <c r="L59" s="520">
        <f t="shared" si="34"/>
        <v>82.154151848611619</v>
      </c>
      <c r="M59" s="520">
        <f t="shared" si="35"/>
        <v>62.536847322902155</v>
      </c>
      <c r="R59" s="389"/>
      <c r="S59" s="389"/>
    </row>
    <row r="60" spans="1:19" s="268" customFormat="1" ht="18.75">
      <c r="A60" s="415"/>
      <c r="B60" s="409" t="s">
        <v>607</v>
      </c>
      <c r="C60" s="536"/>
      <c r="D60" s="536"/>
      <c r="E60" s="536"/>
      <c r="F60" s="536"/>
      <c r="G60" s="536"/>
      <c r="H60" s="537"/>
      <c r="I60" s="476"/>
      <c r="J60" s="476"/>
      <c r="K60" s="468"/>
      <c r="L60" s="521" t="e">
        <f t="shared" si="34"/>
        <v>#DIV/0!</v>
      </c>
      <c r="M60" s="521" t="e">
        <f t="shared" si="35"/>
        <v>#DIV/0!</v>
      </c>
      <c r="R60" s="389"/>
      <c r="S60" s="389"/>
    </row>
    <row r="61" spans="1:19" s="268" customFormat="1" ht="18.75">
      <c r="A61" s="415"/>
      <c r="B61" s="409" t="s">
        <v>608</v>
      </c>
      <c r="C61" s="536"/>
      <c r="D61" s="536"/>
      <c r="E61" s="536"/>
      <c r="F61" s="536"/>
      <c r="G61" s="536"/>
      <c r="H61" s="537"/>
      <c r="I61" s="476">
        <f>+I458+I474+I479+I484+I489+I494+I501</f>
        <v>975583500</v>
      </c>
      <c r="J61" s="476">
        <f>+J458+J474+J479+J484+J489+J494+J501</f>
        <v>801482350</v>
      </c>
      <c r="K61" s="468">
        <f>+K458+K474+K479+K484+K489+K494+K501</f>
        <v>1281616174</v>
      </c>
      <c r="L61" s="520">
        <f t="shared" si="34"/>
        <v>82.154151848611619</v>
      </c>
      <c r="M61" s="520">
        <f t="shared" si="35"/>
        <v>62.536847322902155</v>
      </c>
      <c r="R61" s="389"/>
      <c r="S61" s="389"/>
    </row>
    <row r="62" spans="1:19" s="267" customFormat="1" ht="18.75">
      <c r="A62" s="417" t="s">
        <v>90</v>
      </c>
      <c r="B62" s="421" t="s">
        <v>675</v>
      </c>
      <c r="C62" s="403"/>
      <c r="D62" s="403"/>
      <c r="E62" s="403"/>
      <c r="F62" s="403"/>
      <c r="G62" s="403"/>
      <c r="H62" s="519"/>
      <c r="I62" s="480">
        <f t="shared" ref="I62:K63" si="41">+I63</f>
        <v>120000000</v>
      </c>
      <c r="J62" s="480">
        <f t="shared" si="41"/>
        <v>0</v>
      </c>
      <c r="K62" s="470">
        <f t="shared" si="41"/>
        <v>0</v>
      </c>
      <c r="L62" s="521">
        <f t="shared" si="34"/>
        <v>0</v>
      </c>
      <c r="M62" s="521" t="e">
        <f t="shared" si="35"/>
        <v>#DIV/0!</v>
      </c>
      <c r="R62" s="390"/>
      <c r="S62" s="390"/>
    </row>
    <row r="63" spans="1:19" s="268" customFormat="1" ht="19.5">
      <c r="A63" s="419"/>
      <c r="B63" s="422" t="s">
        <v>529</v>
      </c>
      <c r="C63" s="536"/>
      <c r="D63" s="536"/>
      <c r="E63" s="536"/>
      <c r="F63" s="536"/>
      <c r="G63" s="536"/>
      <c r="H63" s="537"/>
      <c r="I63" s="477">
        <f t="shared" si="41"/>
        <v>120000000</v>
      </c>
      <c r="J63" s="477">
        <f t="shared" si="41"/>
        <v>0</v>
      </c>
      <c r="K63" s="555">
        <f t="shared" si="41"/>
        <v>0</v>
      </c>
      <c r="L63" s="521">
        <f t="shared" si="34"/>
        <v>0</v>
      </c>
      <c r="M63" s="521" t="e">
        <f t="shared" si="35"/>
        <v>#DIV/0!</v>
      </c>
      <c r="R63" s="389"/>
      <c r="S63" s="389"/>
    </row>
    <row r="64" spans="1:19" s="268" customFormat="1" ht="37.5">
      <c r="A64" s="415"/>
      <c r="B64" s="423" t="s">
        <v>502</v>
      </c>
      <c r="C64" s="536"/>
      <c r="D64" s="536"/>
      <c r="E64" s="536"/>
      <c r="F64" s="536"/>
      <c r="G64" s="536"/>
      <c r="H64" s="537"/>
      <c r="I64" s="476">
        <f t="shared" ref="I64:K64" si="42">+I513</f>
        <v>120000000</v>
      </c>
      <c r="J64" s="476">
        <f t="shared" si="42"/>
        <v>0</v>
      </c>
      <c r="K64" s="468">
        <f t="shared" si="42"/>
        <v>0</v>
      </c>
      <c r="L64" s="521">
        <f t="shared" si="34"/>
        <v>0</v>
      </c>
      <c r="M64" s="521" t="e">
        <f t="shared" si="35"/>
        <v>#DIV/0!</v>
      </c>
      <c r="R64" s="389"/>
      <c r="S64" s="389"/>
    </row>
    <row r="65" spans="1:19" ht="33">
      <c r="A65" s="424"/>
      <c r="B65" s="424" t="s">
        <v>676</v>
      </c>
      <c r="C65" s="538" t="s">
        <v>340</v>
      </c>
      <c r="D65" s="538">
        <v>412</v>
      </c>
      <c r="E65" s="538">
        <v>280</v>
      </c>
      <c r="F65" s="538">
        <v>12</v>
      </c>
      <c r="G65" s="123"/>
      <c r="H65" s="269"/>
      <c r="I65" s="482"/>
      <c r="J65" s="482"/>
      <c r="K65" s="556"/>
      <c r="L65" s="521" t="e">
        <f t="shared" si="34"/>
        <v>#DIV/0!</v>
      </c>
      <c r="M65" s="521" t="e">
        <f t="shared" si="35"/>
        <v>#DIV/0!</v>
      </c>
    </row>
    <row r="66" spans="1:19" ht="18.75">
      <c r="A66" s="425" t="s">
        <v>89</v>
      </c>
      <c r="B66" s="426" t="s">
        <v>19</v>
      </c>
      <c r="C66" s="123"/>
      <c r="D66" s="123"/>
      <c r="E66" s="123">
        <v>281</v>
      </c>
      <c r="F66" s="123">
        <v>12</v>
      </c>
      <c r="G66" s="123"/>
      <c r="H66" s="269">
        <v>200</v>
      </c>
      <c r="I66" s="483"/>
      <c r="J66" s="482"/>
      <c r="K66" s="556"/>
      <c r="L66" s="521" t="e">
        <f t="shared" si="34"/>
        <v>#DIV/0!</v>
      </c>
      <c r="M66" s="521" t="e">
        <f t="shared" si="35"/>
        <v>#DIV/0!</v>
      </c>
    </row>
    <row r="67" spans="1:19" ht="18.75">
      <c r="A67" s="427" t="s">
        <v>3</v>
      </c>
      <c r="B67" s="428" t="s">
        <v>25</v>
      </c>
      <c r="C67" s="523"/>
      <c r="D67" s="523"/>
      <c r="E67" s="523"/>
      <c r="F67" s="523"/>
      <c r="G67" s="523"/>
      <c r="H67" s="523"/>
      <c r="I67" s="472">
        <f>I68+I70+I73</f>
        <v>6582000000</v>
      </c>
      <c r="J67" s="472">
        <f t="shared" ref="J67:K67" si="43">J68+J70+J73</f>
        <v>1494349071</v>
      </c>
      <c r="K67" s="558">
        <f t="shared" si="43"/>
        <v>1467799100</v>
      </c>
      <c r="L67" s="520">
        <f t="shared" si="34"/>
        <v>22.703571422060165</v>
      </c>
      <c r="M67" s="520">
        <f t="shared" si="35"/>
        <v>101.80882867416938</v>
      </c>
    </row>
    <row r="68" spans="1:19" ht="18.75">
      <c r="A68" s="419">
        <v>1</v>
      </c>
      <c r="B68" s="428" t="s">
        <v>677</v>
      </c>
      <c r="C68" s="269"/>
      <c r="D68" s="269"/>
      <c r="E68" s="539">
        <v>321</v>
      </c>
      <c r="F68" s="539">
        <v>12</v>
      </c>
      <c r="G68" s="539"/>
      <c r="H68" s="539">
        <v>200</v>
      </c>
      <c r="I68" s="472">
        <f>I69</f>
        <v>40000000</v>
      </c>
      <c r="J68" s="472">
        <f t="shared" ref="J68:K68" si="44">J69</f>
        <v>37068621</v>
      </c>
      <c r="K68" s="558">
        <f t="shared" si="44"/>
        <v>77263800</v>
      </c>
      <c r="L68" s="520">
        <f t="shared" si="34"/>
        <v>92.671552500000004</v>
      </c>
      <c r="M68" s="520">
        <f t="shared" si="35"/>
        <v>47.976699308084768</v>
      </c>
    </row>
    <row r="69" spans="1:19" ht="18.75">
      <c r="A69" s="415"/>
      <c r="B69" s="423" t="s">
        <v>21</v>
      </c>
      <c r="C69" s="523"/>
      <c r="D69" s="523"/>
      <c r="E69" s="523"/>
      <c r="F69" s="523"/>
      <c r="G69" s="523"/>
      <c r="H69" s="523"/>
      <c r="I69" s="474">
        <v>40000000</v>
      </c>
      <c r="J69" s="476">
        <v>37068621</v>
      </c>
      <c r="K69" s="468">
        <v>77263800</v>
      </c>
      <c r="L69" s="520">
        <f t="shared" si="34"/>
        <v>92.671552500000004</v>
      </c>
      <c r="M69" s="520">
        <f t="shared" si="35"/>
        <v>47.976699308084768</v>
      </c>
    </row>
    <row r="70" spans="1:19" s="145" customFormat="1" ht="33">
      <c r="A70" s="419">
        <v>2</v>
      </c>
      <c r="B70" s="428" t="s">
        <v>678</v>
      </c>
      <c r="C70" s="538" t="s">
        <v>340</v>
      </c>
      <c r="D70" s="538">
        <v>412</v>
      </c>
      <c r="E70" s="539" t="s">
        <v>378</v>
      </c>
      <c r="F70" s="539">
        <v>12</v>
      </c>
      <c r="G70" s="539"/>
      <c r="H70" s="539"/>
      <c r="I70" s="472">
        <f>I71+I72</f>
        <v>6297000000</v>
      </c>
      <c r="J70" s="472">
        <f t="shared" ref="J70:K70" si="45">J71+J72</f>
        <v>1365029300</v>
      </c>
      <c r="K70" s="558">
        <f t="shared" si="45"/>
        <v>1346635300</v>
      </c>
      <c r="L70" s="520">
        <f t="shared" si="34"/>
        <v>21.677454343338098</v>
      </c>
      <c r="M70" s="520">
        <f t="shared" si="35"/>
        <v>101.36592290429338</v>
      </c>
      <c r="R70" s="386"/>
      <c r="S70" s="386"/>
    </row>
    <row r="71" spans="1:19" s="145" customFormat="1" ht="18.75">
      <c r="A71" s="415"/>
      <c r="B71" s="423" t="s">
        <v>22</v>
      </c>
      <c r="C71" s="539"/>
      <c r="D71" s="539"/>
      <c r="E71" s="539" t="s">
        <v>497</v>
      </c>
      <c r="F71" s="539">
        <v>12</v>
      </c>
      <c r="G71" s="539"/>
      <c r="H71" s="539">
        <v>200</v>
      </c>
      <c r="I71" s="474">
        <v>6292000000</v>
      </c>
      <c r="J71" s="664">
        <v>1361354300</v>
      </c>
      <c r="K71" s="468">
        <v>1346635300</v>
      </c>
      <c r="L71" s="520">
        <f t="shared" si="34"/>
        <v>21.636273045136679</v>
      </c>
      <c r="M71" s="520">
        <f t="shared" si="35"/>
        <v>101.09302050822519</v>
      </c>
      <c r="R71" s="386"/>
      <c r="S71" s="386"/>
    </row>
    <row r="72" spans="1:19" s="145" customFormat="1" ht="37.5">
      <c r="A72" s="415"/>
      <c r="B72" s="423" t="s">
        <v>23</v>
      </c>
      <c r="C72" s="539"/>
      <c r="D72" s="539"/>
      <c r="E72" s="539"/>
      <c r="F72" s="539"/>
      <c r="G72" s="539"/>
      <c r="H72" s="539"/>
      <c r="I72" s="474">
        <v>5000000</v>
      </c>
      <c r="J72" s="658">
        <v>3675000</v>
      </c>
      <c r="K72" s="468"/>
      <c r="L72" s="520">
        <f t="shared" si="34"/>
        <v>73.5</v>
      </c>
      <c r="M72" s="520" t="e">
        <f t="shared" si="35"/>
        <v>#DIV/0!</v>
      </c>
      <c r="R72" s="386"/>
      <c r="S72" s="386"/>
    </row>
    <row r="73" spans="1:19" s="145" customFormat="1" ht="18.75">
      <c r="A73" s="419">
        <v>3</v>
      </c>
      <c r="B73" s="428" t="s">
        <v>679</v>
      </c>
      <c r="C73" s="539"/>
      <c r="D73" s="539"/>
      <c r="E73" s="539"/>
      <c r="F73" s="539"/>
      <c r="G73" s="539"/>
      <c r="H73" s="539"/>
      <c r="I73" s="472">
        <f>I74</f>
        <v>245000000</v>
      </c>
      <c r="J73" s="472">
        <f t="shared" ref="J73:K73" si="46">J74</f>
        <v>92251150</v>
      </c>
      <c r="K73" s="558">
        <f t="shared" si="46"/>
        <v>43900000</v>
      </c>
      <c r="L73" s="520">
        <f t="shared" si="34"/>
        <v>37.653530612244893</v>
      </c>
      <c r="M73" s="520">
        <f t="shared" si="35"/>
        <v>210.13929384965832</v>
      </c>
      <c r="R73" s="386"/>
      <c r="S73" s="386"/>
    </row>
    <row r="74" spans="1:19" ht="37.5">
      <c r="A74" s="415"/>
      <c r="B74" s="423" t="s">
        <v>345</v>
      </c>
      <c r="C74" s="523"/>
      <c r="D74" s="523"/>
      <c r="E74" s="523"/>
      <c r="F74" s="523"/>
      <c r="G74" s="523" t="s">
        <v>172</v>
      </c>
      <c r="H74" s="523">
        <v>200</v>
      </c>
      <c r="I74" s="474">
        <v>245000000</v>
      </c>
      <c r="J74" s="476">
        <v>92251150</v>
      </c>
      <c r="K74" s="468">
        <v>43900000</v>
      </c>
      <c r="L74" s="520">
        <f t="shared" si="34"/>
        <v>37.653530612244893</v>
      </c>
      <c r="M74" s="520">
        <f t="shared" si="35"/>
        <v>210.13929384965832</v>
      </c>
    </row>
    <row r="75" spans="1:19" ht="18.75">
      <c r="A75" s="427" t="s">
        <v>5</v>
      </c>
      <c r="B75" s="428" t="s">
        <v>17</v>
      </c>
      <c r="C75" s="523"/>
      <c r="D75" s="523"/>
      <c r="E75" s="523"/>
      <c r="F75" s="523"/>
      <c r="G75" s="523"/>
      <c r="H75" s="523"/>
      <c r="I75" s="472"/>
      <c r="J75" s="477"/>
      <c r="K75" s="555"/>
      <c r="L75" s="521" t="e">
        <f t="shared" si="34"/>
        <v>#DIV/0!</v>
      </c>
      <c r="M75" s="521" t="e">
        <f t="shared" si="35"/>
        <v>#DIV/0!</v>
      </c>
    </row>
    <row r="76" spans="1:19" ht="18.75">
      <c r="A76" s="427" t="s">
        <v>90</v>
      </c>
      <c r="B76" s="428" t="s">
        <v>18</v>
      </c>
      <c r="C76" s="523"/>
      <c r="D76" s="523"/>
      <c r="E76" s="523"/>
      <c r="F76" s="523"/>
      <c r="G76" s="523"/>
      <c r="H76" s="523"/>
      <c r="I76" s="472">
        <f>I77+I79+I82</f>
        <v>6582000000</v>
      </c>
      <c r="J76" s="472">
        <f t="shared" ref="J76:K76" si="47">J77+J79+J82</f>
        <v>1494349071</v>
      </c>
      <c r="K76" s="558">
        <f t="shared" si="47"/>
        <v>1467799100</v>
      </c>
      <c r="L76" s="520">
        <f t="shared" si="34"/>
        <v>22.703571422060165</v>
      </c>
      <c r="M76" s="520">
        <f t="shared" si="35"/>
        <v>101.80882867416938</v>
      </c>
    </row>
    <row r="77" spans="1:19" s="145" customFormat="1" ht="33">
      <c r="A77" s="419">
        <v>1</v>
      </c>
      <c r="B77" s="428" t="s">
        <v>677</v>
      </c>
      <c r="C77" s="538" t="s">
        <v>340</v>
      </c>
      <c r="D77" s="538">
        <v>412</v>
      </c>
      <c r="E77" s="539">
        <v>100</v>
      </c>
      <c r="F77" s="539">
        <v>12</v>
      </c>
      <c r="G77" s="539"/>
      <c r="H77" s="539"/>
      <c r="I77" s="472">
        <f>I78</f>
        <v>40000000</v>
      </c>
      <c r="J77" s="472">
        <f t="shared" ref="J77:K77" si="48">J78</f>
        <v>37068621</v>
      </c>
      <c r="K77" s="558">
        <f t="shared" si="48"/>
        <v>77263800</v>
      </c>
      <c r="L77" s="520">
        <f t="shared" si="34"/>
        <v>92.671552500000004</v>
      </c>
      <c r="M77" s="520">
        <f t="shared" si="35"/>
        <v>47.976699308084768</v>
      </c>
      <c r="R77" s="386"/>
      <c r="S77" s="386"/>
    </row>
    <row r="78" spans="1:19" s="145" customFormat="1" ht="18.75">
      <c r="A78" s="415"/>
      <c r="B78" s="429" t="s">
        <v>680</v>
      </c>
      <c r="C78" s="539"/>
      <c r="D78" s="539"/>
      <c r="E78" s="539">
        <v>103</v>
      </c>
      <c r="F78" s="539">
        <v>12</v>
      </c>
      <c r="G78" s="539"/>
      <c r="H78" s="539">
        <v>200</v>
      </c>
      <c r="I78" s="474">
        <f>I69</f>
        <v>40000000</v>
      </c>
      <c r="J78" s="476">
        <f>+J69</f>
        <v>37068621</v>
      </c>
      <c r="K78" s="468">
        <f>+K69</f>
        <v>77263800</v>
      </c>
      <c r="L78" s="520">
        <f t="shared" si="34"/>
        <v>92.671552500000004</v>
      </c>
      <c r="M78" s="520">
        <f t="shared" si="35"/>
        <v>47.976699308084768</v>
      </c>
      <c r="R78" s="386"/>
      <c r="S78" s="386"/>
    </row>
    <row r="79" spans="1:19" ht="18.75">
      <c r="A79" s="419">
        <v>2</v>
      </c>
      <c r="B79" s="428" t="s">
        <v>678</v>
      </c>
      <c r="C79" s="523"/>
      <c r="D79" s="523"/>
      <c r="E79" s="523"/>
      <c r="F79" s="523"/>
      <c r="G79" s="523"/>
      <c r="H79" s="523"/>
      <c r="I79" s="472">
        <f>I80+I81</f>
        <v>6297000000</v>
      </c>
      <c r="J79" s="472">
        <f t="shared" ref="J79:K79" si="49">J80+J81</f>
        <v>1365029300</v>
      </c>
      <c r="K79" s="558">
        <f t="shared" si="49"/>
        <v>1346635300</v>
      </c>
      <c r="L79" s="520">
        <f t="shared" si="34"/>
        <v>21.677454343338098</v>
      </c>
      <c r="M79" s="520">
        <f t="shared" si="35"/>
        <v>101.36592290429338</v>
      </c>
    </row>
    <row r="80" spans="1:19" ht="18.75">
      <c r="A80" s="415"/>
      <c r="B80" s="429" t="s">
        <v>681</v>
      </c>
      <c r="C80" s="532">
        <v>1029501</v>
      </c>
      <c r="D80" s="532">
        <v>412</v>
      </c>
      <c r="E80" s="532"/>
      <c r="F80" s="532"/>
      <c r="G80" s="532"/>
      <c r="H80" s="533"/>
      <c r="I80" s="474">
        <f t="shared" ref="I80:I81" si="50">I71</f>
        <v>6292000000</v>
      </c>
      <c r="J80" s="476">
        <f>+J71</f>
        <v>1361354300</v>
      </c>
      <c r="K80" s="468">
        <f>+K71</f>
        <v>1346635300</v>
      </c>
      <c r="L80" s="520">
        <f t="shared" si="34"/>
        <v>21.636273045136679</v>
      </c>
      <c r="M80" s="520">
        <f t="shared" si="35"/>
        <v>101.09302050822519</v>
      </c>
      <c r="N80" s="129">
        <f>+I80+I351</f>
        <v>7726564000</v>
      </c>
    </row>
    <row r="81" spans="1:29" ht="37.5">
      <c r="A81" s="415"/>
      <c r="B81" s="429" t="s">
        <v>682</v>
      </c>
      <c r="C81" s="123">
        <v>1029501</v>
      </c>
      <c r="D81" s="123">
        <v>412</v>
      </c>
      <c r="E81" s="123">
        <v>340</v>
      </c>
      <c r="F81" s="123">
        <v>13</v>
      </c>
      <c r="G81" s="123"/>
      <c r="H81" s="269"/>
      <c r="I81" s="474">
        <f t="shared" si="50"/>
        <v>5000000</v>
      </c>
      <c r="J81" s="476">
        <f>+J72</f>
        <v>3675000</v>
      </c>
      <c r="K81" s="468">
        <f>+K72</f>
        <v>0</v>
      </c>
      <c r="L81" s="520">
        <f t="shared" si="34"/>
        <v>73.5</v>
      </c>
      <c r="M81" s="520" t="e">
        <f t="shared" si="35"/>
        <v>#DIV/0!</v>
      </c>
    </row>
    <row r="82" spans="1:29" s="171" customFormat="1" ht="18.75">
      <c r="A82" s="419">
        <v>3</v>
      </c>
      <c r="B82" s="428" t="s">
        <v>679</v>
      </c>
      <c r="C82" s="123"/>
      <c r="D82" s="123"/>
      <c r="E82" s="123"/>
      <c r="F82" s="123"/>
      <c r="G82" s="123"/>
      <c r="H82" s="269"/>
      <c r="I82" s="472">
        <f>I83</f>
        <v>245000000</v>
      </c>
      <c r="J82" s="472">
        <f t="shared" ref="J82:K82" si="51">J83</f>
        <v>92251150</v>
      </c>
      <c r="K82" s="558">
        <f t="shared" si="51"/>
        <v>43900000</v>
      </c>
      <c r="L82" s="520">
        <f t="shared" si="34"/>
        <v>37.653530612244893</v>
      </c>
      <c r="M82" s="520">
        <f t="shared" si="35"/>
        <v>210.13929384965832</v>
      </c>
      <c r="R82" s="391"/>
      <c r="S82" s="391"/>
    </row>
    <row r="83" spans="1:29" s="141" customFormat="1" ht="37.5">
      <c r="A83" s="415"/>
      <c r="B83" s="423" t="s">
        <v>601</v>
      </c>
      <c r="C83" s="123">
        <v>1029501</v>
      </c>
      <c r="D83" s="123">
        <v>412</v>
      </c>
      <c r="E83" s="123">
        <v>341</v>
      </c>
      <c r="F83" s="123">
        <v>13</v>
      </c>
      <c r="G83" s="123"/>
      <c r="H83" s="269">
        <v>200</v>
      </c>
      <c r="I83" s="474">
        <f>I74</f>
        <v>245000000</v>
      </c>
      <c r="J83" s="476">
        <f>+J74</f>
        <v>92251150</v>
      </c>
      <c r="K83" s="468">
        <f>+K74</f>
        <v>43900000</v>
      </c>
      <c r="L83" s="520">
        <f t="shared" si="34"/>
        <v>37.653530612244893</v>
      </c>
      <c r="M83" s="520">
        <f t="shared" si="35"/>
        <v>210.13929384965832</v>
      </c>
      <c r="R83" s="385"/>
      <c r="S83" s="385"/>
      <c r="AA83" s="274">
        <f>+AA84-I84</f>
        <v>-547000000</v>
      </c>
    </row>
    <row r="84" spans="1:29" ht="18.75">
      <c r="A84" s="425" t="s">
        <v>68</v>
      </c>
      <c r="B84" s="426" t="s">
        <v>4</v>
      </c>
      <c r="C84" s="522"/>
      <c r="D84" s="522"/>
      <c r="E84" s="522"/>
      <c r="F84" s="522"/>
      <c r="G84" s="522"/>
      <c r="H84" s="523"/>
      <c r="I84" s="484">
        <f>I86+I449+I513</f>
        <v>114214127322</v>
      </c>
      <c r="J84" s="484">
        <f>J86+J449+J513</f>
        <v>38563762972.75</v>
      </c>
      <c r="K84" s="559">
        <f>K86+K449+K513</f>
        <v>28930405055</v>
      </c>
      <c r="L84" s="520">
        <f t="shared" si="34"/>
        <v>33.764442172751977</v>
      </c>
      <c r="M84" s="520">
        <f t="shared" si="35"/>
        <v>133.29838590035601</v>
      </c>
      <c r="AA84" s="656">
        <v>113667127322</v>
      </c>
    </row>
    <row r="85" spans="1:29" ht="18.75">
      <c r="A85" s="425"/>
      <c r="B85" s="424" t="s">
        <v>84</v>
      </c>
      <c r="C85" s="403"/>
      <c r="D85" s="403"/>
      <c r="E85" s="403"/>
      <c r="F85" s="403"/>
      <c r="G85" s="403"/>
      <c r="H85" s="519"/>
      <c r="I85" s="484">
        <f>+I86+I449</f>
        <v>114094127322</v>
      </c>
      <c r="J85" s="484">
        <f>+J86+J449</f>
        <v>38563762972.75</v>
      </c>
      <c r="K85" s="559">
        <f>+K86+K449</f>
        <v>28930405055</v>
      </c>
      <c r="L85" s="520">
        <f t="shared" si="34"/>
        <v>33.799954369179886</v>
      </c>
      <c r="M85" s="520">
        <f t="shared" si="35"/>
        <v>133.29838590035601</v>
      </c>
    </row>
    <row r="86" spans="1:29" ht="18.75">
      <c r="A86" s="430" t="s">
        <v>683</v>
      </c>
      <c r="B86" s="431" t="s">
        <v>86</v>
      </c>
      <c r="C86" s="403"/>
      <c r="D86" s="403"/>
      <c r="E86" s="403"/>
      <c r="F86" s="403"/>
      <c r="G86" s="403"/>
      <c r="H86" s="519"/>
      <c r="I86" s="485">
        <f>+I87+I149+I187+I246+I304+I366+I399+I421</f>
        <v>102229543822</v>
      </c>
      <c r="J86" s="485">
        <f>+J87+J149+J187+J246+J304+J366+J399+J421</f>
        <v>32887731662.75</v>
      </c>
      <c r="K86" s="560">
        <f>+K87+K149+K187+K246+K304+K366+K399+K421</f>
        <v>27618788881</v>
      </c>
      <c r="L86" s="520">
        <f t="shared" si="34"/>
        <v>32.170476785080297</v>
      </c>
      <c r="M86" s="520">
        <f t="shared" si="35"/>
        <v>119.0773853424641</v>
      </c>
    </row>
    <row r="87" spans="1:29" ht="19.5" thickBot="1">
      <c r="A87" s="432" t="s">
        <v>3</v>
      </c>
      <c r="B87" s="433" t="s">
        <v>302</v>
      </c>
      <c r="C87" s="522"/>
      <c r="D87" s="522"/>
      <c r="E87" s="522"/>
      <c r="F87" s="522"/>
      <c r="G87" s="522"/>
      <c r="H87" s="523"/>
      <c r="I87" s="486">
        <f t="shared" ref="I87:K87" si="52">+I88+I131+I134+I139+I146</f>
        <v>15189608676</v>
      </c>
      <c r="J87" s="486">
        <f t="shared" si="52"/>
        <v>3068802108.0000005</v>
      </c>
      <c r="K87" s="561">
        <f t="shared" si="52"/>
        <v>2771332255</v>
      </c>
      <c r="L87" s="520">
        <f t="shared" si="34"/>
        <v>20.203299330869477</v>
      </c>
      <c r="M87" s="520">
        <f t="shared" si="35"/>
        <v>110.73382134037915</v>
      </c>
      <c r="AA87" s="129">
        <v>15051608676</v>
      </c>
      <c r="AB87" s="129"/>
      <c r="AC87" s="129"/>
    </row>
    <row r="88" spans="1:29" s="174" customFormat="1" ht="19.5" thickBot="1">
      <c r="A88" s="427">
        <v>1</v>
      </c>
      <c r="B88" s="428" t="s">
        <v>6</v>
      </c>
      <c r="C88" s="123">
        <v>1029501</v>
      </c>
      <c r="D88" s="123">
        <v>412</v>
      </c>
      <c r="E88" s="123">
        <v>341</v>
      </c>
      <c r="F88" s="123">
        <v>14</v>
      </c>
      <c r="G88" s="123"/>
      <c r="H88" s="269">
        <v>200</v>
      </c>
      <c r="I88" s="472">
        <f t="shared" ref="I88:K88" si="53">I89+I100+I127+I124</f>
        <v>13027893676</v>
      </c>
      <c r="J88" s="472">
        <f t="shared" si="53"/>
        <v>2712428428.0000005</v>
      </c>
      <c r="K88" s="558">
        <f t="shared" si="53"/>
        <v>2519547285</v>
      </c>
      <c r="L88" s="520">
        <f t="shared" si="34"/>
        <v>20.820160921307174</v>
      </c>
      <c r="M88" s="520">
        <f t="shared" si="35"/>
        <v>107.65538889261212</v>
      </c>
      <c r="R88" s="392"/>
      <c r="S88" s="392"/>
      <c r="AA88" s="579"/>
    </row>
    <row r="89" spans="1:29" ht="19.5">
      <c r="A89" s="434" t="s">
        <v>8</v>
      </c>
      <c r="B89" s="435" t="s">
        <v>28</v>
      </c>
      <c r="C89" s="403"/>
      <c r="D89" s="403"/>
      <c r="E89" s="403"/>
      <c r="F89" s="403"/>
      <c r="G89" s="403"/>
      <c r="H89" s="519"/>
      <c r="I89" s="487">
        <f t="shared" ref="I89:K89" si="54">I90+I97</f>
        <v>8457258676</v>
      </c>
      <c r="J89" s="487">
        <f>J90+J97</f>
        <v>844911795.00000036</v>
      </c>
      <c r="K89" s="562">
        <f t="shared" si="54"/>
        <v>1956435826</v>
      </c>
      <c r="L89" s="520">
        <f t="shared" si="34"/>
        <v>9.9903742733764336</v>
      </c>
      <c r="M89" s="520">
        <f t="shared" si="35"/>
        <v>43.186276992660247</v>
      </c>
      <c r="AA89" s="129">
        <f>+AA87-I87</f>
        <v>-138000000</v>
      </c>
    </row>
    <row r="90" spans="1:29" ht="18.75">
      <c r="A90" s="427" t="s">
        <v>14</v>
      </c>
      <c r="B90" s="420" t="s">
        <v>67</v>
      </c>
      <c r="C90" s="522"/>
      <c r="D90" s="522"/>
      <c r="E90" s="522"/>
      <c r="F90" s="522" t="s">
        <v>339</v>
      </c>
      <c r="G90" s="522"/>
      <c r="H90" s="523">
        <v>200</v>
      </c>
      <c r="I90" s="488">
        <f t="shared" ref="I90:K90" si="55">I91+I95+I96</f>
        <v>8457258676</v>
      </c>
      <c r="J90" s="488">
        <f>J91+J95+J96</f>
        <v>844911795.00000036</v>
      </c>
      <c r="K90" s="563">
        <f t="shared" si="55"/>
        <v>1510653890</v>
      </c>
      <c r="L90" s="520">
        <f t="shared" si="34"/>
        <v>9.9903742733764336</v>
      </c>
      <c r="M90" s="520">
        <f t="shared" si="35"/>
        <v>55.930203509422029</v>
      </c>
      <c r="AA90" s="129">
        <f>+I87+I451</f>
        <v>16138192176</v>
      </c>
    </row>
    <row r="91" spans="1:29" s="171" customFormat="1" ht="18.75">
      <c r="A91" s="436" t="s">
        <v>96</v>
      </c>
      <c r="B91" s="437" t="s">
        <v>29</v>
      </c>
      <c r="C91" s="123">
        <v>1029501</v>
      </c>
      <c r="D91" s="123">
        <v>412</v>
      </c>
      <c r="E91" s="123">
        <v>341</v>
      </c>
      <c r="F91" s="123">
        <v>12</v>
      </c>
      <c r="G91" s="123"/>
      <c r="H91" s="269">
        <v>200</v>
      </c>
      <c r="I91" s="489">
        <f>SUM(I92:I94)</f>
        <v>7769298676</v>
      </c>
      <c r="J91" s="489">
        <f t="shared" ref="J91:K91" si="56">SUM(J92:J94)</f>
        <v>559016119.00000036</v>
      </c>
      <c r="K91" s="564">
        <f t="shared" si="56"/>
        <v>1377146255</v>
      </c>
      <c r="L91" s="520">
        <f t="shared" si="34"/>
        <v>7.1951940878119016</v>
      </c>
      <c r="M91" s="520">
        <f t="shared" si="35"/>
        <v>40.592356619377391</v>
      </c>
      <c r="N91" s="128"/>
      <c r="R91" s="391"/>
      <c r="S91" s="391"/>
    </row>
    <row r="92" spans="1:29" ht="19.5" thickBot="1">
      <c r="A92" s="427"/>
      <c r="B92" s="438" t="s">
        <v>30</v>
      </c>
      <c r="C92" s="522"/>
      <c r="D92" s="522"/>
      <c r="E92" s="522"/>
      <c r="F92" s="522"/>
      <c r="G92" s="522"/>
      <c r="H92" s="523"/>
      <c r="I92" s="590">
        <f>4656000000+969000000</f>
        <v>5625000000</v>
      </c>
      <c r="J92" s="655">
        <v>305468123.10000038</v>
      </c>
      <c r="K92" s="565">
        <v>1062327390</v>
      </c>
      <c r="L92" s="520">
        <f t="shared" si="34"/>
        <v>5.4305444106666734</v>
      </c>
      <c r="M92" s="520">
        <f t="shared" si="35"/>
        <v>28.754612370485937</v>
      </c>
    </row>
    <row r="93" spans="1:29" ht="32.25" thickBot="1">
      <c r="A93" s="427"/>
      <c r="B93" s="613" t="s">
        <v>742</v>
      </c>
      <c r="C93" s="522"/>
      <c r="D93" s="522"/>
      <c r="E93" s="522"/>
      <c r="F93" s="522"/>
      <c r="G93" s="522"/>
      <c r="H93" s="523"/>
      <c r="I93" s="590">
        <v>880298676</v>
      </c>
      <c r="J93" s="655">
        <v>226547995.89999998</v>
      </c>
      <c r="K93" s="565"/>
      <c r="L93" s="520"/>
      <c r="M93" s="520"/>
      <c r="AA93" s="579">
        <v>16181192176</v>
      </c>
    </row>
    <row r="94" spans="1:29" ht="18.75">
      <c r="A94" s="427"/>
      <c r="B94" s="438" t="s">
        <v>10</v>
      </c>
      <c r="C94" s="523"/>
      <c r="D94" s="523"/>
      <c r="E94" s="523"/>
      <c r="F94" s="523"/>
      <c r="G94" s="523"/>
      <c r="H94" s="523"/>
      <c r="I94" s="478">
        <v>1264000000</v>
      </c>
      <c r="J94" s="655">
        <v>27000000</v>
      </c>
      <c r="K94" s="565">
        <v>314818865</v>
      </c>
      <c r="L94" s="520">
        <f t="shared" si="34"/>
        <v>2.1360759493670884</v>
      </c>
      <c r="M94" s="520">
        <f t="shared" si="35"/>
        <v>8.5763602508382082</v>
      </c>
      <c r="N94" s="267"/>
      <c r="AA94" s="129">
        <f>+AA93-AA90</f>
        <v>43000000</v>
      </c>
    </row>
    <row r="95" spans="1:29" ht="18.75">
      <c r="A95" s="436" t="s">
        <v>98</v>
      </c>
      <c r="B95" s="437" t="s">
        <v>31</v>
      </c>
      <c r="C95" s="403"/>
      <c r="D95" s="403"/>
      <c r="E95" s="403"/>
      <c r="F95" s="403"/>
      <c r="G95" s="403"/>
      <c r="H95" s="519"/>
      <c r="I95" s="474">
        <v>108000000</v>
      </c>
      <c r="J95" s="599">
        <f>150467838-81000000</f>
        <v>69467838</v>
      </c>
      <c r="K95" s="565">
        <v>27000000</v>
      </c>
      <c r="L95" s="520">
        <f t="shared" si="34"/>
        <v>64.322072222222232</v>
      </c>
      <c r="M95" s="520">
        <f t="shared" si="35"/>
        <v>257.28828888888893</v>
      </c>
      <c r="N95" s="267"/>
    </row>
    <row r="96" spans="1:29" ht="37.5">
      <c r="A96" s="436" t="s">
        <v>97</v>
      </c>
      <c r="B96" s="437" t="s">
        <v>504</v>
      </c>
      <c r="C96" s="403"/>
      <c r="D96" s="403"/>
      <c r="E96" s="403"/>
      <c r="F96" s="403"/>
      <c r="G96" s="403"/>
      <c r="H96" s="519"/>
      <c r="I96" s="591">
        <f>514000000+65960000</f>
        <v>579960000</v>
      </c>
      <c r="J96" s="599">
        <f>579960000-363532162</f>
        <v>216427838</v>
      </c>
      <c r="K96" s="565">
        <v>106507635</v>
      </c>
      <c r="L96" s="520">
        <f t="shared" si="34"/>
        <v>37.31771811849093</v>
      </c>
      <c r="M96" s="520">
        <f t="shared" si="35"/>
        <v>203.20405950240095</v>
      </c>
      <c r="N96" s="268"/>
    </row>
    <row r="97" spans="1:27" ht="19.5" thickBot="1">
      <c r="A97" s="427" t="s">
        <v>15</v>
      </c>
      <c r="B97" s="439" t="s">
        <v>69</v>
      </c>
      <c r="C97" s="403"/>
      <c r="D97" s="403"/>
      <c r="E97" s="403"/>
      <c r="F97" s="403"/>
      <c r="G97" s="403"/>
      <c r="H97" s="519"/>
      <c r="I97" s="472">
        <f>SUM(I98:I99)</f>
        <v>0</v>
      </c>
      <c r="J97" s="472">
        <f t="shared" ref="J97:K97" si="57">SUM(J98:J99)</f>
        <v>0</v>
      </c>
      <c r="K97" s="472">
        <f t="shared" si="57"/>
        <v>445781936</v>
      </c>
      <c r="L97" s="521" t="e">
        <f t="shared" ref="L97:L165" si="58">+J97/I97*100</f>
        <v>#DIV/0!</v>
      </c>
      <c r="M97" s="521">
        <f t="shared" ref="M97:M165" si="59">+J97/K97*100</f>
        <v>0</v>
      </c>
      <c r="N97" s="268"/>
    </row>
    <row r="98" spans="1:27" ht="38.25" thickBot="1">
      <c r="A98" s="427"/>
      <c r="B98" s="437" t="s">
        <v>505</v>
      </c>
      <c r="C98" s="403"/>
      <c r="D98" s="403"/>
      <c r="E98" s="403"/>
      <c r="F98" s="403"/>
      <c r="G98" s="403"/>
      <c r="H98" s="519"/>
      <c r="I98" s="591"/>
      <c r="J98" s="589"/>
      <c r="K98" s="565"/>
      <c r="L98" s="521" t="e">
        <f t="shared" si="58"/>
        <v>#DIV/0!</v>
      </c>
      <c r="M98" s="521" t="e">
        <f t="shared" si="59"/>
        <v>#DIV/0!</v>
      </c>
      <c r="N98" s="267"/>
    </row>
    <row r="99" spans="1:27" ht="33">
      <c r="A99" s="427"/>
      <c r="B99" s="156" t="s">
        <v>774</v>
      </c>
      <c r="C99" s="403"/>
      <c r="D99" s="403"/>
      <c r="E99" s="403"/>
      <c r="F99" s="403"/>
      <c r="G99" s="403"/>
      <c r="H99" s="519"/>
      <c r="I99" s="591"/>
      <c r="J99" s="650"/>
      <c r="K99" s="565">
        <v>445781936</v>
      </c>
      <c r="L99" s="521"/>
      <c r="M99" s="521"/>
      <c r="N99" s="267"/>
    </row>
    <row r="100" spans="1:27" s="397" customFormat="1" ht="19.5">
      <c r="A100" s="434" t="s">
        <v>9</v>
      </c>
      <c r="B100" s="435" t="s">
        <v>684</v>
      </c>
      <c r="C100" s="123"/>
      <c r="D100" s="123"/>
      <c r="E100" s="123"/>
      <c r="F100" s="123"/>
      <c r="G100" s="123"/>
      <c r="H100" s="269"/>
      <c r="I100" s="487">
        <f t="shared" ref="I100:K100" si="60">+I101+I102+I120+I123</f>
        <v>4332911000</v>
      </c>
      <c r="J100" s="487">
        <f t="shared" si="60"/>
        <v>1629792633</v>
      </c>
      <c r="K100" s="562">
        <f t="shared" si="60"/>
        <v>563111459</v>
      </c>
      <c r="L100" s="520">
        <f t="shared" si="58"/>
        <v>37.614265167228226</v>
      </c>
      <c r="M100" s="520">
        <f t="shared" si="59"/>
        <v>289.42629508805646</v>
      </c>
      <c r="R100" s="398"/>
      <c r="S100" s="398"/>
      <c r="AA100" s="128"/>
    </row>
    <row r="101" spans="1:27" s="267" customFormat="1" ht="18.75">
      <c r="A101" s="436" t="s">
        <v>14</v>
      </c>
      <c r="B101" s="440" t="s">
        <v>33</v>
      </c>
      <c r="C101" s="403"/>
      <c r="D101" s="403"/>
      <c r="E101" s="403"/>
      <c r="F101" s="403"/>
      <c r="G101" s="403"/>
      <c r="H101" s="519"/>
      <c r="I101" s="595">
        <f>105000000+85300000</f>
        <v>190300000</v>
      </c>
      <c r="J101" s="578">
        <v>113770000</v>
      </c>
      <c r="K101" s="565">
        <v>54040000</v>
      </c>
      <c r="L101" s="520">
        <f t="shared" si="58"/>
        <v>59.784550709406204</v>
      </c>
      <c r="M101" s="520">
        <f t="shared" si="59"/>
        <v>210.52923760177643</v>
      </c>
      <c r="R101" s="390"/>
      <c r="S101" s="390"/>
      <c r="AA101" s="128"/>
    </row>
    <row r="102" spans="1:27" s="267" customFormat="1" ht="18.75">
      <c r="A102" s="436" t="s">
        <v>15</v>
      </c>
      <c r="B102" s="440" t="s">
        <v>419</v>
      </c>
      <c r="C102" s="403"/>
      <c r="D102" s="403"/>
      <c r="E102" s="403"/>
      <c r="F102" s="403"/>
      <c r="G102" s="403"/>
      <c r="H102" s="519"/>
      <c r="I102" s="490">
        <f t="shared" ref="I102:K102" si="61">SUM(I103:I119)</f>
        <v>2288930000</v>
      </c>
      <c r="J102" s="490">
        <f t="shared" si="61"/>
        <v>1516022633</v>
      </c>
      <c r="K102" s="566">
        <f t="shared" si="61"/>
        <v>509071459</v>
      </c>
      <c r="L102" s="520">
        <f t="shared" si="58"/>
        <v>66.232808910713743</v>
      </c>
      <c r="M102" s="520">
        <f t="shared" si="59"/>
        <v>297.80153772085657</v>
      </c>
      <c r="R102" s="390"/>
      <c r="S102" s="390"/>
      <c r="AA102" s="128"/>
    </row>
    <row r="103" spans="1:27" s="397" customFormat="1" ht="37.5">
      <c r="A103" s="434"/>
      <c r="B103" s="441" t="s">
        <v>482</v>
      </c>
      <c r="C103" s="123"/>
      <c r="D103" s="123"/>
      <c r="E103" s="123"/>
      <c r="F103" s="123"/>
      <c r="G103" s="123"/>
      <c r="H103" s="269"/>
      <c r="I103" s="491">
        <v>20000000</v>
      </c>
      <c r="J103" s="474">
        <v>19000000</v>
      </c>
      <c r="K103" s="565">
        <v>11400000</v>
      </c>
      <c r="L103" s="521">
        <f t="shared" si="58"/>
        <v>95</v>
      </c>
      <c r="M103" s="521">
        <f t="shared" si="59"/>
        <v>166.66666666666669</v>
      </c>
      <c r="R103" s="398"/>
      <c r="S103" s="398"/>
      <c r="AA103" s="128"/>
    </row>
    <row r="104" spans="1:27" s="267" customFormat="1" ht="19.5">
      <c r="A104" s="434"/>
      <c r="B104" s="441" t="s">
        <v>483</v>
      </c>
      <c r="C104" s="403"/>
      <c r="D104" s="403"/>
      <c r="E104" s="403"/>
      <c r="F104" s="403"/>
      <c r="G104" s="403"/>
      <c r="H104" s="519"/>
      <c r="I104" s="491">
        <v>90000000</v>
      </c>
      <c r="J104" s="474">
        <v>27383022</v>
      </c>
      <c r="K104" s="565">
        <v>35103554</v>
      </c>
      <c r="L104" s="520">
        <f t="shared" si="58"/>
        <v>30.425580000000004</v>
      </c>
      <c r="M104" s="520">
        <f t="shared" si="59"/>
        <v>78.006409265568948</v>
      </c>
      <c r="R104" s="390"/>
      <c r="S104" s="390"/>
      <c r="AA104" s="128"/>
    </row>
    <row r="105" spans="1:27" s="267" customFormat="1" ht="19.5">
      <c r="A105" s="434"/>
      <c r="B105" s="441" t="s">
        <v>484</v>
      </c>
      <c r="C105" s="403"/>
      <c r="D105" s="403"/>
      <c r="E105" s="403"/>
      <c r="F105" s="403"/>
      <c r="G105" s="403"/>
      <c r="H105" s="519"/>
      <c r="I105" s="491">
        <v>22000000</v>
      </c>
      <c r="J105" s="474">
        <v>5860000</v>
      </c>
      <c r="K105" s="565">
        <v>5280000</v>
      </c>
      <c r="L105" s="520">
        <f t="shared" si="58"/>
        <v>26.636363636363637</v>
      </c>
      <c r="M105" s="520">
        <f t="shared" si="59"/>
        <v>110.98484848484848</v>
      </c>
      <c r="R105" s="390"/>
      <c r="S105" s="390"/>
      <c r="AA105" s="128"/>
    </row>
    <row r="106" spans="1:27" s="267" customFormat="1" ht="19.5">
      <c r="A106" s="434"/>
      <c r="B106" s="441" t="s">
        <v>485</v>
      </c>
      <c r="C106" s="403"/>
      <c r="D106" s="403"/>
      <c r="E106" s="403"/>
      <c r="F106" s="403"/>
      <c r="G106" s="403"/>
      <c r="H106" s="519"/>
      <c r="I106" s="594">
        <f>50000000-870000</f>
        <v>49130000</v>
      </c>
      <c r="J106" s="474">
        <v>0</v>
      </c>
      <c r="K106" s="565"/>
      <c r="L106" s="520">
        <f t="shared" si="58"/>
        <v>0</v>
      </c>
      <c r="M106" s="520" t="e">
        <f t="shared" si="59"/>
        <v>#DIV/0!</v>
      </c>
      <c r="R106" s="390"/>
      <c r="S106" s="390"/>
      <c r="AA106" s="128"/>
    </row>
    <row r="107" spans="1:27" ht="19.5">
      <c r="A107" s="434"/>
      <c r="B107" s="441" t="s">
        <v>350</v>
      </c>
      <c r="C107" s="123">
        <v>1029501</v>
      </c>
      <c r="D107" s="123">
        <v>412</v>
      </c>
      <c r="E107" s="123">
        <v>280</v>
      </c>
      <c r="F107" s="123">
        <v>12</v>
      </c>
      <c r="G107" s="123"/>
      <c r="H107" s="269">
        <v>200</v>
      </c>
      <c r="I107" s="491">
        <v>10000000</v>
      </c>
      <c r="J107" s="474">
        <v>10000000</v>
      </c>
      <c r="K107" s="565">
        <v>10000000</v>
      </c>
      <c r="L107" s="521">
        <f t="shared" si="58"/>
        <v>100</v>
      </c>
      <c r="M107" s="521">
        <f t="shared" si="59"/>
        <v>100</v>
      </c>
    </row>
    <row r="108" spans="1:27" s="141" customFormat="1" ht="19.5">
      <c r="A108" s="434"/>
      <c r="B108" s="441" t="s">
        <v>486</v>
      </c>
      <c r="C108" s="123"/>
      <c r="D108" s="123"/>
      <c r="E108" s="123">
        <v>283</v>
      </c>
      <c r="F108" s="123">
        <v>12</v>
      </c>
      <c r="G108" s="123"/>
      <c r="H108" s="269">
        <v>200</v>
      </c>
      <c r="I108" s="491">
        <v>36000000</v>
      </c>
      <c r="J108" s="474">
        <v>3808000</v>
      </c>
      <c r="K108" s="565"/>
      <c r="L108" s="520">
        <f t="shared" si="58"/>
        <v>10.577777777777778</v>
      </c>
      <c r="M108" s="520" t="e">
        <f t="shared" si="59"/>
        <v>#DIV/0!</v>
      </c>
      <c r="R108" s="385"/>
      <c r="S108" s="385"/>
      <c r="AA108" s="128"/>
    </row>
    <row r="109" spans="1:27" ht="19.5">
      <c r="A109" s="434"/>
      <c r="B109" s="441" t="s">
        <v>487</v>
      </c>
      <c r="C109" s="403"/>
      <c r="D109" s="403"/>
      <c r="E109" s="403"/>
      <c r="F109" s="403"/>
      <c r="G109" s="403"/>
      <c r="H109" s="519"/>
      <c r="I109" s="594">
        <f>558000000+66300000</f>
        <v>624300000</v>
      </c>
      <c r="J109" s="474">
        <v>260855413</v>
      </c>
      <c r="K109" s="565">
        <v>341967254</v>
      </c>
      <c r="L109" s="520">
        <f t="shared" si="58"/>
        <v>41.783663783437454</v>
      </c>
      <c r="M109" s="520">
        <f t="shared" si="59"/>
        <v>76.280816349743247</v>
      </c>
    </row>
    <row r="110" spans="1:27" ht="19.5">
      <c r="A110" s="434"/>
      <c r="B110" s="438" t="s">
        <v>488</v>
      </c>
      <c r="C110" s="403"/>
      <c r="D110" s="403"/>
      <c r="E110" s="403"/>
      <c r="F110" s="403"/>
      <c r="G110" s="403"/>
      <c r="H110" s="519"/>
      <c r="I110" s="594">
        <f>54000000+42000000</f>
        <v>96000000</v>
      </c>
      <c r="J110" s="474">
        <v>16717910</v>
      </c>
      <c r="K110" s="565"/>
      <c r="L110" s="520">
        <f t="shared" si="58"/>
        <v>17.414489583333335</v>
      </c>
      <c r="M110" s="520" t="e">
        <f t="shared" si="59"/>
        <v>#DIV/0!</v>
      </c>
    </row>
    <row r="111" spans="1:27" ht="37.5">
      <c r="A111" s="434"/>
      <c r="B111" s="438" t="s">
        <v>489</v>
      </c>
      <c r="C111" s="123">
        <v>1029501</v>
      </c>
      <c r="D111" s="123">
        <v>412</v>
      </c>
      <c r="E111" s="123">
        <v>250</v>
      </c>
      <c r="F111" s="123">
        <v>12</v>
      </c>
      <c r="G111" s="123"/>
      <c r="H111" s="269">
        <v>200</v>
      </c>
      <c r="I111" s="491">
        <v>54000000</v>
      </c>
      <c r="J111" s="474">
        <v>51000000</v>
      </c>
      <c r="K111" s="565">
        <v>14000000</v>
      </c>
      <c r="L111" s="521">
        <f t="shared" si="58"/>
        <v>94.444444444444443</v>
      </c>
      <c r="M111" s="521">
        <f t="shared" si="59"/>
        <v>364.28571428571428</v>
      </c>
    </row>
    <row r="112" spans="1:27" ht="19.5">
      <c r="A112" s="434"/>
      <c r="B112" s="438" t="s">
        <v>491</v>
      </c>
      <c r="C112" s="123"/>
      <c r="D112" s="123"/>
      <c r="E112" s="123"/>
      <c r="F112" s="123"/>
      <c r="G112" s="123"/>
      <c r="H112" s="269"/>
      <c r="I112" s="594">
        <f>45000000-2000000*0</f>
        <v>45000000</v>
      </c>
      <c r="J112" s="474">
        <v>7891808</v>
      </c>
      <c r="K112" s="565">
        <v>41405651</v>
      </c>
      <c r="L112" s="520">
        <f t="shared" si="58"/>
        <v>17.537351111111111</v>
      </c>
      <c r="M112" s="520">
        <f t="shared" si="59"/>
        <v>19.059736556249291</v>
      </c>
    </row>
    <row r="113" spans="1:27" ht="19.5">
      <c r="A113" s="434"/>
      <c r="B113" s="438" t="s">
        <v>490</v>
      </c>
      <c r="C113" s="522"/>
      <c r="D113" s="522"/>
      <c r="E113" s="522">
        <v>278</v>
      </c>
      <c r="F113" s="522">
        <v>12</v>
      </c>
      <c r="G113" s="522"/>
      <c r="H113" s="523">
        <v>200</v>
      </c>
      <c r="I113" s="594">
        <f>10000000-500000*0-9500000</f>
        <v>500000</v>
      </c>
      <c r="J113" s="474">
        <v>0</v>
      </c>
      <c r="K113" s="565"/>
      <c r="L113" s="521">
        <f t="shared" si="58"/>
        <v>0</v>
      </c>
      <c r="M113" s="521" t="e">
        <f t="shared" si="59"/>
        <v>#DIV/0!</v>
      </c>
    </row>
    <row r="114" spans="1:27" ht="37.5">
      <c r="A114" s="434"/>
      <c r="B114" s="438" t="s">
        <v>492</v>
      </c>
      <c r="C114" s="532">
        <v>1029499</v>
      </c>
      <c r="D114" s="532">
        <v>412</v>
      </c>
      <c r="E114" s="532"/>
      <c r="F114" s="532"/>
      <c r="G114" s="532"/>
      <c r="H114" s="533"/>
      <c r="I114" s="594">
        <f>25000000-1000000*0-9000000</f>
        <v>16000000</v>
      </c>
      <c r="J114" s="474">
        <v>4600000</v>
      </c>
      <c r="K114" s="565">
        <v>3491000</v>
      </c>
      <c r="L114" s="520">
        <f t="shared" si="58"/>
        <v>28.749999999999996</v>
      </c>
      <c r="M114" s="520">
        <f t="shared" si="59"/>
        <v>131.76740189057577</v>
      </c>
      <c r="N114" s="129">
        <f>+I114+I356</f>
        <v>116000000</v>
      </c>
    </row>
    <row r="115" spans="1:27" ht="56.25">
      <c r="A115" s="434"/>
      <c r="B115" s="438" t="s">
        <v>493</v>
      </c>
      <c r="C115" s="123">
        <v>1029499</v>
      </c>
      <c r="D115" s="123">
        <v>412</v>
      </c>
      <c r="E115" s="123">
        <v>340</v>
      </c>
      <c r="F115" s="123">
        <v>13</v>
      </c>
      <c r="G115" s="123"/>
      <c r="H115" s="269"/>
      <c r="I115" s="594">
        <f>25000000-1200000*0-15000000</f>
        <v>10000000</v>
      </c>
      <c r="J115" s="474">
        <v>9000000</v>
      </c>
      <c r="K115" s="565">
        <v>3691000</v>
      </c>
      <c r="L115" s="521">
        <f t="shared" si="58"/>
        <v>90</v>
      </c>
      <c r="M115" s="521">
        <f t="shared" si="59"/>
        <v>243.8363587103766</v>
      </c>
    </row>
    <row r="116" spans="1:27" ht="19.5">
      <c r="A116" s="434"/>
      <c r="B116" s="438" t="s">
        <v>494</v>
      </c>
      <c r="C116" s="123"/>
      <c r="D116" s="123"/>
      <c r="E116" s="123"/>
      <c r="F116" s="123"/>
      <c r="G116" s="123"/>
      <c r="H116" s="269"/>
      <c r="I116" s="491">
        <v>131000000</v>
      </c>
      <c r="J116" s="474">
        <v>82505000</v>
      </c>
      <c r="K116" s="565">
        <v>42733000</v>
      </c>
      <c r="L116" s="520">
        <f t="shared" si="58"/>
        <v>62.980916030534353</v>
      </c>
      <c r="M116" s="520">
        <f t="shared" si="59"/>
        <v>193.07092879039618</v>
      </c>
    </row>
    <row r="117" spans="1:27" ht="37.5">
      <c r="A117" s="434"/>
      <c r="B117" s="438" t="s">
        <v>495</v>
      </c>
      <c r="C117" s="123">
        <v>1029499</v>
      </c>
      <c r="D117" s="123">
        <v>412</v>
      </c>
      <c r="E117" s="123">
        <v>341</v>
      </c>
      <c r="F117" s="123">
        <v>13</v>
      </c>
      <c r="G117" s="123"/>
      <c r="H117" s="269">
        <v>200</v>
      </c>
      <c r="I117" s="491">
        <v>20000000</v>
      </c>
      <c r="J117" s="474">
        <v>20000000</v>
      </c>
      <c r="K117" s="565"/>
      <c r="L117" s="521">
        <f t="shared" si="58"/>
        <v>100</v>
      </c>
      <c r="M117" s="521" t="e">
        <f t="shared" si="59"/>
        <v>#DIV/0!</v>
      </c>
    </row>
    <row r="118" spans="1:27" ht="19.5">
      <c r="A118" s="434"/>
      <c r="B118" s="438" t="s">
        <v>506</v>
      </c>
      <c r="C118" s="522"/>
      <c r="D118" s="522"/>
      <c r="E118" s="522"/>
      <c r="F118" s="522"/>
      <c r="G118" s="522"/>
      <c r="H118" s="523"/>
      <c r="I118" s="491">
        <v>1065000000</v>
      </c>
      <c r="J118" s="474">
        <v>997401480</v>
      </c>
      <c r="K118" s="565"/>
      <c r="L118" s="521">
        <f t="shared" si="58"/>
        <v>93.652721126760568</v>
      </c>
      <c r="M118" s="521" t="e">
        <f t="shared" si="59"/>
        <v>#DIV/0!</v>
      </c>
    </row>
    <row r="119" spans="1:27" ht="19.5">
      <c r="A119" s="434"/>
      <c r="B119" s="438" t="s">
        <v>563</v>
      </c>
      <c r="C119" s="403"/>
      <c r="D119" s="403"/>
      <c r="E119" s="403"/>
      <c r="F119" s="403"/>
      <c r="G119" s="403"/>
      <c r="H119" s="519"/>
      <c r="I119" s="474">
        <v>0</v>
      </c>
      <c r="J119" s="474"/>
      <c r="K119" s="565"/>
      <c r="L119" s="521" t="e">
        <f t="shared" si="58"/>
        <v>#DIV/0!</v>
      </c>
      <c r="M119" s="521" t="e">
        <f t="shared" si="59"/>
        <v>#DIV/0!</v>
      </c>
    </row>
    <row r="120" spans="1:27" ht="37.5">
      <c r="A120" s="434" t="s">
        <v>313</v>
      </c>
      <c r="B120" s="438" t="s">
        <v>508</v>
      </c>
      <c r="C120" s="403"/>
      <c r="D120" s="403"/>
      <c r="E120" s="403"/>
      <c r="F120" s="403"/>
      <c r="G120" s="403"/>
      <c r="H120" s="519"/>
      <c r="I120" s="474">
        <f t="shared" ref="I120:K121" si="62">+I121</f>
        <v>0</v>
      </c>
      <c r="J120" s="474">
        <f t="shared" si="62"/>
        <v>0</v>
      </c>
      <c r="K120" s="565">
        <f t="shared" si="62"/>
        <v>0</v>
      </c>
      <c r="L120" s="521" t="e">
        <f t="shared" si="58"/>
        <v>#DIV/0!</v>
      </c>
      <c r="M120" s="521" t="e">
        <f t="shared" si="59"/>
        <v>#DIV/0!</v>
      </c>
    </row>
    <row r="121" spans="1:27" ht="37.5">
      <c r="A121" s="434"/>
      <c r="B121" s="438" t="s">
        <v>509</v>
      </c>
      <c r="C121" s="403"/>
      <c r="D121" s="403"/>
      <c r="E121" s="403"/>
      <c r="F121" s="403"/>
      <c r="G121" s="403"/>
      <c r="H121" s="519"/>
      <c r="I121" s="474">
        <f t="shared" si="62"/>
        <v>0</v>
      </c>
      <c r="J121" s="474">
        <f t="shared" si="62"/>
        <v>0</v>
      </c>
      <c r="K121" s="565">
        <f t="shared" si="62"/>
        <v>0</v>
      </c>
      <c r="L121" s="521" t="e">
        <f t="shared" si="58"/>
        <v>#DIV/0!</v>
      </c>
      <c r="M121" s="521" t="e">
        <f t="shared" si="59"/>
        <v>#DIV/0!</v>
      </c>
    </row>
    <row r="122" spans="1:27" ht="19.5">
      <c r="A122" s="434"/>
      <c r="B122" s="438" t="s">
        <v>387</v>
      </c>
      <c r="C122" s="522"/>
      <c r="D122" s="522"/>
      <c r="E122" s="522"/>
      <c r="F122" s="522"/>
      <c r="G122" s="522"/>
      <c r="H122" s="523"/>
      <c r="I122" s="489"/>
      <c r="J122" s="474"/>
      <c r="K122" s="565"/>
      <c r="L122" s="521" t="e">
        <f t="shared" si="58"/>
        <v>#DIV/0!</v>
      </c>
      <c r="M122" s="521" t="e">
        <f t="shared" si="59"/>
        <v>#DIV/0!</v>
      </c>
    </row>
    <row r="123" spans="1:27" ht="37.5">
      <c r="A123" s="442" t="s">
        <v>314</v>
      </c>
      <c r="B123" s="437" t="s">
        <v>556</v>
      </c>
      <c r="C123" s="123">
        <v>1029499</v>
      </c>
      <c r="D123" s="123">
        <v>412</v>
      </c>
      <c r="E123" s="123">
        <v>341</v>
      </c>
      <c r="F123" s="123">
        <v>14</v>
      </c>
      <c r="G123" s="123"/>
      <c r="H123" s="269">
        <v>200</v>
      </c>
      <c r="I123" s="472">
        <v>1853681000</v>
      </c>
      <c r="J123" s="474"/>
      <c r="K123" s="565"/>
      <c r="L123" s="521">
        <f t="shared" si="58"/>
        <v>0</v>
      </c>
      <c r="M123" s="521" t="e">
        <f t="shared" si="59"/>
        <v>#DIV/0!</v>
      </c>
    </row>
    <row r="124" spans="1:27" ht="19.5">
      <c r="A124" s="434" t="s">
        <v>20</v>
      </c>
      <c r="B124" s="439" t="s">
        <v>70</v>
      </c>
      <c r="C124" s="522"/>
      <c r="D124" s="522"/>
      <c r="E124" s="522"/>
      <c r="F124" s="522" t="s">
        <v>339</v>
      </c>
      <c r="G124" s="522"/>
      <c r="H124" s="523">
        <v>200</v>
      </c>
      <c r="I124" s="472">
        <f t="shared" ref="I124:K124" si="63">+I125+I126</f>
        <v>0</v>
      </c>
      <c r="J124" s="472">
        <f t="shared" si="63"/>
        <v>0</v>
      </c>
      <c r="K124" s="558">
        <f t="shared" si="63"/>
        <v>0</v>
      </c>
      <c r="L124" s="521" t="e">
        <f t="shared" si="58"/>
        <v>#DIV/0!</v>
      </c>
      <c r="M124" s="521" t="e">
        <f t="shared" si="59"/>
        <v>#DIV/0!</v>
      </c>
    </row>
    <row r="125" spans="1:27" ht="37.5">
      <c r="A125" s="442"/>
      <c r="B125" s="437" t="s">
        <v>562</v>
      </c>
      <c r="C125" s="123">
        <v>1029499</v>
      </c>
      <c r="D125" s="123">
        <v>412</v>
      </c>
      <c r="E125" s="123">
        <v>341</v>
      </c>
      <c r="F125" s="123">
        <v>12</v>
      </c>
      <c r="G125" s="123"/>
      <c r="H125" s="269">
        <v>200</v>
      </c>
      <c r="I125" s="490">
        <v>0</v>
      </c>
      <c r="J125" s="474"/>
      <c r="K125" s="565"/>
      <c r="L125" s="521" t="e">
        <f t="shared" si="58"/>
        <v>#DIV/0!</v>
      </c>
      <c r="M125" s="521" t="e">
        <f t="shared" si="59"/>
        <v>#DIV/0!</v>
      </c>
    </row>
    <row r="126" spans="1:27" ht="56.25">
      <c r="A126" s="442"/>
      <c r="B126" s="437" t="s">
        <v>685</v>
      </c>
      <c r="C126" s="519"/>
      <c r="D126" s="519"/>
      <c r="E126" s="519"/>
      <c r="F126" s="519"/>
      <c r="G126" s="519"/>
      <c r="H126" s="519"/>
      <c r="I126" s="492">
        <v>0</v>
      </c>
      <c r="J126" s="474"/>
      <c r="K126" s="565"/>
      <c r="L126" s="521" t="e">
        <f t="shared" si="58"/>
        <v>#DIV/0!</v>
      </c>
      <c r="M126" s="521" t="e">
        <f t="shared" si="59"/>
        <v>#DIV/0!</v>
      </c>
    </row>
    <row r="127" spans="1:27" ht="19.5">
      <c r="A127" s="434" t="s">
        <v>686</v>
      </c>
      <c r="B127" s="439" t="s">
        <v>687</v>
      </c>
      <c r="C127" s="519"/>
      <c r="D127" s="519"/>
      <c r="E127" s="519"/>
      <c r="F127" s="519"/>
      <c r="G127" s="519"/>
      <c r="H127" s="519"/>
      <c r="I127" s="472">
        <f>+I128+I129+I130</f>
        <v>237724000</v>
      </c>
      <c r="J127" s="472">
        <f t="shared" ref="J127:K127" si="64">+J128+J129+J130</f>
        <v>237724000</v>
      </c>
      <c r="K127" s="472">
        <f t="shared" si="64"/>
        <v>0</v>
      </c>
      <c r="L127" s="521">
        <f t="shared" si="58"/>
        <v>100</v>
      </c>
      <c r="M127" s="521" t="e">
        <f t="shared" si="59"/>
        <v>#DIV/0!</v>
      </c>
    </row>
    <row r="128" spans="1:27" s="141" customFormat="1" ht="37.5">
      <c r="A128" s="442"/>
      <c r="B128" s="437" t="s">
        <v>688</v>
      </c>
      <c r="C128" s="519"/>
      <c r="D128" s="519"/>
      <c r="E128" s="519"/>
      <c r="F128" s="519"/>
      <c r="G128" s="519"/>
      <c r="H128" s="519"/>
      <c r="I128" s="472">
        <v>0</v>
      </c>
      <c r="J128" s="474"/>
      <c r="K128" s="565"/>
      <c r="L128" s="521" t="e">
        <f t="shared" si="58"/>
        <v>#DIV/0!</v>
      </c>
      <c r="M128" s="521" t="e">
        <f t="shared" si="59"/>
        <v>#DIV/0!</v>
      </c>
      <c r="R128" s="385"/>
      <c r="S128" s="385"/>
      <c r="AA128" s="128"/>
    </row>
    <row r="129" spans="1:27" s="141" customFormat="1" ht="18.75">
      <c r="A129" s="442"/>
      <c r="B129" s="630" t="s">
        <v>757</v>
      </c>
      <c r="C129" s="519"/>
      <c r="D129" s="519"/>
      <c r="E129" s="519"/>
      <c r="F129" s="519"/>
      <c r="G129" s="519"/>
      <c r="H129" s="519"/>
      <c r="I129" s="472">
        <v>66100000</v>
      </c>
      <c r="J129" s="474">
        <f>I129</f>
        <v>66100000</v>
      </c>
      <c r="K129" s="565"/>
      <c r="L129" s="521"/>
      <c r="M129" s="521"/>
      <c r="R129" s="385"/>
      <c r="S129" s="385"/>
      <c r="AA129" s="128"/>
    </row>
    <row r="130" spans="1:27" s="141" customFormat="1" ht="33">
      <c r="A130" s="442"/>
      <c r="B130" s="631" t="s">
        <v>758</v>
      </c>
      <c r="C130" s="519"/>
      <c r="D130" s="519"/>
      <c r="E130" s="519"/>
      <c r="F130" s="519"/>
      <c r="G130" s="519"/>
      <c r="H130" s="519"/>
      <c r="I130" s="472">
        <v>171624000</v>
      </c>
      <c r="J130" s="474">
        <f>I130</f>
        <v>171624000</v>
      </c>
      <c r="K130" s="565"/>
      <c r="L130" s="521"/>
      <c r="M130" s="521"/>
      <c r="R130" s="385"/>
      <c r="S130" s="385"/>
      <c r="AA130" s="128"/>
    </row>
    <row r="131" spans="1:27" s="141" customFormat="1" ht="36" customHeight="1">
      <c r="A131" s="427">
        <v>2</v>
      </c>
      <c r="B131" s="443" t="s">
        <v>537</v>
      </c>
      <c r="C131" s="519"/>
      <c r="D131" s="519"/>
      <c r="E131" s="519"/>
      <c r="F131" s="519"/>
      <c r="G131" s="519"/>
      <c r="H131" s="519"/>
      <c r="I131" s="472">
        <f t="shared" ref="I131:K131" si="65">+SUM(I132:I133)</f>
        <v>34300000</v>
      </c>
      <c r="J131" s="472">
        <f t="shared" si="65"/>
        <v>0</v>
      </c>
      <c r="K131" s="558">
        <f t="shared" si="65"/>
        <v>0</v>
      </c>
      <c r="L131" s="520">
        <f t="shared" si="58"/>
        <v>0</v>
      </c>
      <c r="M131" s="520" t="e">
        <f t="shared" si="59"/>
        <v>#DIV/0!</v>
      </c>
      <c r="R131" s="385"/>
      <c r="S131" s="385"/>
      <c r="AA131" s="128"/>
    </row>
    <row r="132" spans="1:27" s="141" customFormat="1" ht="36" customHeight="1">
      <c r="A132" s="434"/>
      <c r="B132" s="440" t="s">
        <v>538</v>
      </c>
      <c r="C132" s="519"/>
      <c r="D132" s="519"/>
      <c r="E132" s="519"/>
      <c r="F132" s="519"/>
      <c r="G132" s="519"/>
      <c r="H132" s="519"/>
      <c r="I132" s="490">
        <v>30800000</v>
      </c>
      <c r="J132" s="474"/>
      <c r="K132" s="565"/>
      <c r="L132" s="520">
        <f t="shared" si="58"/>
        <v>0</v>
      </c>
      <c r="M132" s="520" t="e">
        <f t="shared" si="59"/>
        <v>#DIV/0!</v>
      </c>
      <c r="R132" s="385"/>
      <c r="S132" s="385"/>
      <c r="AA132" s="128"/>
    </row>
    <row r="133" spans="1:27" s="141" customFormat="1" ht="36" customHeight="1">
      <c r="A133" s="434"/>
      <c r="B133" s="440" t="s">
        <v>539</v>
      </c>
      <c r="C133" s="519"/>
      <c r="D133" s="519"/>
      <c r="E133" s="519"/>
      <c r="F133" s="519"/>
      <c r="G133" s="519"/>
      <c r="H133" s="519"/>
      <c r="I133" s="490">
        <v>3500000</v>
      </c>
      <c r="J133" s="474"/>
      <c r="K133" s="565"/>
      <c r="L133" s="520">
        <f t="shared" si="58"/>
        <v>0</v>
      </c>
      <c r="M133" s="520" t="e">
        <f t="shared" si="59"/>
        <v>#DIV/0!</v>
      </c>
      <c r="R133" s="385"/>
      <c r="S133" s="385"/>
      <c r="AA133" s="128"/>
    </row>
    <row r="134" spans="1:27" s="141" customFormat="1" ht="37.5">
      <c r="A134" s="427">
        <v>3</v>
      </c>
      <c r="B134" s="428" t="s">
        <v>689</v>
      </c>
      <c r="C134" s="519"/>
      <c r="D134" s="519"/>
      <c r="E134" s="519"/>
      <c r="F134" s="519"/>
      <c r="G134" s="519"/>
      <c r="H134" s="519"/>
      <c r="I134" s="472">
        <f t="shared" ref="I134:K134" si="66">I135+I137</f>
        <v>1594925000</v>
      </c>
      <c r="J134" s="472">
        <f t="shared" si="66"/>
        <v>356373680</v>
      </c>
      <c r="K134" s="558">
        <f t="shared" si="66"/>
        <v>251784970</v>
      </c>
      <c r="L134" s="520">
        <f t="shared" si="58"/>
        <v>22.344228098499929</v>
      </c>
      <c r="M134" s="520">
        <f t="shared" si="59"/>
        <v>141.53890122988676</v>
      </c>
      <c r="R134" s="385"/>
      <c r="S134" s="385"/>
      <c r="AA134" s="128"/>
    </row>
    <row r="135" spans="1:27" s="141" customFormat="1" ht="19.5">
      <c r="A135" s="427" t="s">
        <v>623</v>
      </c>
      <c r="B135" s="422" t="s">
        <v>99</v>
      </c>
      <c r="C135" s="519"/>
      <c r="D135" s="519"/>
      <c r="E135" s="519"/>
      <c r="F135" s="519"/>
      <c r="G135" s="519"/>
      <c r="H135" s="519"/>
      <c r="I135" s="473">
        <f t="shared" ref="I135:K135" si="67">I136</f>
        <v>1194925000</v>
      </c>
      <c r="J135" s="473">
        <f t="shared" si="67"/>
        <v>63415000</v>
      </c>
      <c r="K135" s="567">
        <f t="shared" si="67"/>
        <v>0</v>
      </c>
      <c r="L135" s="520">
        <f t="shared" si="58"/>
        <v>5.307027637717848</v>
      </c>
      <c r="M135" s="520" t="e">
        <f t="shared" si="59"/>
        <v>#DIV/0!</v>
      </c>
      <c r="R135" s="385"/>
      <c r="S135" s="385"/>
      <c r="AA135" s="128"/>
    </row>
    <row r="136" spans="1:27" s="141" customFormat="1" ht="18.75">
      <c r="A136" s="427"/>
      <c r="B136" s="440" t="s">
        <v>530</v>
      </c>
      <c r="C136" s="519"/>
      <c r="D136" s="519"/>
      <c r="E136" s="519"/>
      <c r="F136" s="519"/>
      <c r="G136" s="519"/>
      <c r="H136" s="519"/>
      <c r="I136" s="600">
        <f>2400000000-1205075000</f>
        <v>1194925000</v>
      </c>
      <c r="J136" s="274">
        <v>63415000</v>
      </c>
      <c r="K136" s="565"/>
      <c r="L136" s="520">
        <f t="shared" si="58"/>
        <v>5.307027637717848</v>
      </c>
      <c r="M136" s="520" t="e">
        <f t="shared" si="59"/>
        <v>#DIV/0!</v>
      </c>
      <c r="R136" s="385"/>
      <c r="S136" s="385"/>
      <c r="AA136" s="128"/>
    </row>
    <row r="137" spans="1:27" s="379" customFormat="1" ht="19.5">
      <c r="A137" s="427" t="s">
        <v>624</v>
      </c>
      <c r="B137" s="444" t="s">
        <v>93</v>
      </c>
      <c r="C137" s="269"/>
      <c r="D137" s="269"/>
      <c r="E137" s="269"/>
      <c r="F137" s="269"/>
      <c r="G137" s="269"/>
      <c r="H137" s="269"/>
      <c r="I137" s="492">
        <f t="shared" ref="I137:K137" si="68">I138</f>
        <v>400000000</v>
      </c>
      <c r="J137" s="492">
        <f t="shared" si="68"/>
        <v>292958680</v>
      </c>
      <c r="K137" s="568">
        <f t="shared" si="68"/>
        <v>251784970</v>
      </c>
      <c r="L137" s="520">
        <f t="shared" si="58"/>
        <v>73.239670000000004</v>
      </c>
      <c r="M137" s="520">
        <f t="shared" si="59"/>
        <v>116.35272748806254</v>
      </c>
      <c r="R137" s="393"/>
      <c r="S137" s="393"/>
      <c r="AA137" s="128"/>
    </row>
    <row r="138" spans="1:27" s="268" customFormat="1" ht="18.75">
      <c r="A138" s="427"/>
      <c r="B138" s="440" t="s">
        <v>531</v>
      </c>
      <c r="C138" s="519"/>
      <c r="D138" s="519"/>
      <c r="E138" s="519"/>
      <c r="F138" s="519"/>
      <c r="G138" s="519"/>
      <c r="H138" s="519"/>
      <c r="I138" s="493">
        <v>400000000</v>
      </c>
      <c r="J138" s="474">
        <v>292958680</v>
      </c>
      <c r="K138" s="565">
        <v>251784970</v>
      </c>
      <c r="L138" s="520">
        <f t="shared" si="58"/>
        <v>73.239670000000004</v>
      </c>
      <c r="M138" s="520">
        <f t="shared" si="59"/>
        <v>116.35272748806254</v>
      </c>
      <c r="R138" s="389"/>
      <c r="S138" s="389"/>
      <c r="AA138" s="128"/>
    </row>
    <row r="139" spans="1:27" s="268" customFormat="1" ht="37.5">
      <c r="A139" s="427">
        <v>4</v>
      </c>
      <c r="B139" s="443" t="s">
        <v>510</v>
      </c>
      <c r="C139" s="519"/>
      <c r="D139" s="519"/>
      <c r="E139" s="519"/>
      <c r="F139" s="519"/>
      <c r="G139" s="519"/>
      <c r="H139" s="519"/>
      <c r="I139" s="472">
        <f t="shared" ref="I139:K139" si="69">+I140</f>
        <v>282490000</v>
      </c>
      <c r="J139" s="472">
        <f t="shared" si="69"/>
        <v>0</v>
      </c>
      <c r="K139" s="558">
        <f t="shared" si="69"/>
        <v>0</v>
      </c>
      <c r="L139" s="521">
        <f t="shared" si="58"/>
        <v>0</v>
      </c>
      <c r="M139" s="521" t="e">
        <f t="shared" si="59"/>
        <v>#DIV/0!</v>
      </c>
      <c r="R139" s="389"/>
      <c r="S139" s="389"/>
      <c r="AA139" s="128"/>
    </row>
    <row r="140" spans="1:27" s="268" customFormat="1" ht="18.75">
      <c r="A140" s="427"/>
      <c r="B140" s="443" t="s">
        <v>507</v>
      </c>
      <c r="C140" s="519"/>
      <c r="D140" s="519"/>
      <c r="E140" s="519"/>
      <c r="F140" s="519"/>
      <c r="G140" s="519"/>
      <c r="H140" s="519"/>
      <c r="I140" s="493">
        <f t="shared" ref="I140:K140" si="70">+SUM(I141:I143)</f>
        <v>282490000</v>
      </c>
      <c r="J140" s="493">
        <f t="shared" si="70"/>
        <v>0</v>
      </c>
      <c r="K140" s="569">
        <f t="shared" si="70"/>
        <v>0</v>
      </c>
      <c r="L140" s="521">
        <f t="shared" si="58"/>
        <v>0</v>
      </c>
      <c r="M140" s="521" t="e">
        <f t="shared" si="59"/>
        <v>#DIV/0!</v>
      </c>
      <c r="R140" s="389"/>
      <c r="S140" s="389"/>
      <c r="AA140" s="128"/>
    </row>
    <row r="141" spans="1:27" ht="37.5">
      <c r="A141" s="436" t="s">
        <v>14</v>
      </c>
      <c r="B141" s="440" t="s">
        <v>382</v>
      </c>
      <c r="C141" s="123">
        <v>1029499</v>
      </c>
      <c r="D141" s="123">
        <v>412</v>
      </c>
      <c r="E141" s="123">
        <v>280</v>
      </c>
      <c r="F141" s="123">
        <v>13</v>
      </c>
      <c r="G141" s="123"/>
      <c r="H141" s="269"/>
      <c r="I141" s="591">
        <f>749000000-37350000*0-480160000</f>
        <v>268840000</v>
      </c>
      <c r="J141" s="474"/>
      <c r="K141" s="565"/>
      <c r="L141" s="521">
        <f t="shared" si="58"/>
        <v>0</v>
      </c>
      <c r="M141" s="521" t="e">
        <f t="shared" si="59"/>
        <v>#DIV/0!</v>
      </c>
    </row>
    <row r="142" spans="1:27" s="141" customFormat="1" ht="37.5">
      <c r="A142" s="436" t="s">
        <v>15</v>
      </c>
      <c r="B142" s="440" t="s">
        <v>383</v>
      </c>
      <c r="C142" s="123"/>
      <c r="D142" s="123"/>
      <c r="E142" s="123"/>
      <c r="F142" s="123"/>
      <c r="G142" s="123"/>
      <c r="H142" s="269"/>
      <c r="I142" s="595">
        <f>273000000-13650000*0-259350000</f>
        <v>13650000</v>
      </c>
      <c r="J142" s="474"/>
      <c r="K142" s="565"/>
      <c r="L142" s="521">
        <f t="shared" si="58"/>
        <v>0</v>
      </c>
      <c r="M142" s="521" t="e">
        <f t="shared" si="59"/>
        <v>#DIV/0!</v>
      </c>
      <c r="R142" s="385"/>
      <c r="S142" s="385"/>
      <c r="AA142" s="128"/>
    </row>
    <row r="143" spans="1:27" ht="37.5">
      <c r="A143" s="436" t="s">
        <v>24</v>
      </c>
      <c r="B143" s="440" t="s">
        <v>508</v>
      </c>
      <c r="C143" s="123">
        <v>1029499</v>
      </c>
      <c r="D143" s="123">
        <v>412</v>
      </c>
      <c r="E143" s="123">
        <v>282</v>
      </c>
      <c r="F143" s="123">
        <v>13</v>
      </c>
      <c r="G143" s="123"/>
      <c r="H143" s="269">
        <v>200</v>
      </c>
      <c r="I143" s="491">
        <f>+I144</f>
        <v>0</v>
      </c>
      <c r="J143" s="491">
        <f t="shared" ref="J143:K144" si="71">+J144</f>
        <v>0</v>
      </c>
      <c r="K143" s="570">
        <f t="shared" si="71"/>
        <v>0</v>
      </c>
      <c r="L143" s="521" t="e">
        <f t="shared" si="58"/>
        <v>#DIV/0!</v>
      </c>
      <c r="M143" s="521" t="e">
        <f t="shared" si="59"/>
        <v>#DIV/0!</v>
      </c>
    </row>
    <row r="144" spans="1:27" ht="37.5">
      <c r="A144" s="427"/>
      <c r="B144" s="440" t="s">
        <v>509</v>
      </c>
      <c r="C144" s="522"/>
      <c r="D144" s="522"/>
      <c r="E144" s="522"/>
      <c r="F144" s="522"/>
      <c r="G144" s="522"/>
      <c r="H144" s="523"/>
      <c r="I144" s="489">
        <f>+I145</f>
        <v>0</v>
      </c>
      <c r="J144" s="489">
        <f t="shared" si="71"/>
        <v>0</v>
      </c>
      <c r="K144" s="564">
        <f t="shared" si="71"/>
        <v>0</v>
      </c>
      <c r="L144" s="521" t="e">
        <f t="shared" si="58"/>
        <v>#DIV/0!</v>
      </c>
      <c r="M144" s="521" t="e">
        <f t="shared" si="59"/>
        <v>#DIV/0!</v>
      </c>
    </row>
    <row r="145" spans="1:29" ht="18.75">
      <c r="A145" s="427"/>
      <c r="B145" s="440" t="s">
        <v>387</v>
      </c>
      <c r="C145" s="403"/>
      <c r="D145" s="403"/>
      <c r="E145" s="403"/>
      <c r="F145" s="403"/>
      <c r="G145" s="403"/>
      <c r="H145" s="519"/>
      <c r="I145" s="478"/>
      <c r="J145" s="474"/>
      <c r="K145" s="565"/>
      <c r="L145" s="521" t="e">
        <f t="shared" si="58"/>
        <v>#DIV/0!</v>
      </c>
      <c r="M145" s="521" t="e">
        <f t="shared" si="59"/>
        <v>#DIV/0!</v>
      </c>
    </row>
    <row r="146" spans="1:29" ht="18.75">
      <c r="A146" s="427">
        <v>5</v>
      </c>
      <c r="B146" s="443" t="s">
        <v>511</v>
      </c>
      <c r="C146" s="403"/>
      <c r="D146" s="403"/>
      <c r="E146" s="403"/>
      <c r="F146" s="403"/>
      <c r="G146" s="403"/>
      <c r="H146" s="519"/>
      <c r="I146" s="493">
        <f t="shared" ref="I146:K147" si="72">+I147</f>
        <v>250000000</v>
      </c>
      <c r="J146" s="493">
        <f t="shared" si="72"/>
        <v>0</v>
      </c>
      <c r="K146" s="569">
        <f t="shared" si="72"/>
        <v>0</v>
      </c>
      <c r="L146" s="520">
        <f t="shared" si="58"/>
        <v>0</v>
      </c>
      <c r="M146" s="521" t="e">
        <f t="shared" si="59"/>
        <v>#DIV/0!</v>
      </c>
    </row>
    <row r="147" spans="1:29" ht="18.75">
      <c r="A147" s="436"/>
      <c r="B147" s="440" t="s">
        <v>507</v>
      </c>
      <c r="C147" s="403"/>
      <c r="D147" s="403"/>
      <c r="E147" s="403"/>
      <c r="F147" s="403"/>
      <c r="G147" s="403"/>
      <c r="H147" s="519"/>
      <c r="I147" s="490">
        <f t="shared" si="72"/>
        <v>250000000</v>
      </c>
      <c r="J147" s="490">
        <f t="shared" si="72"/>
        <v>0</v>
      </c>
      <c r="K147" s="566">
        <f t="shared" si="72"/>
        <v>0</v>
      </c>
      <c r="L147" s="520">
        <f t="shared" si="58"/>
        <v>0</v>
      </c>
      <c r="M147" s="521" t="e">
        <f t="shared" si="59"/>
        <v>#DIV/0!</v>
      </c>
    </row>
    <row r="148" spans="1:29" ht="56.25">
      <c r="A148" s="436"/>
      <c r="B148" s="440" t="s">
        <v>451</v>
      </c>
      <c r="C148" s="123">
        <v>1029499</v>
      </c>
      <c r="D148" s="123">
        <v>412</v>
      </c>
      <c r="E148" s="538">
        <v>282</v>
      </c>
      <c r="F148" s="538">
        <v>14</v>
      </c>
      <c r="G148" s="538"/>
      <c r="H148" s="539">
        <v>200</v>
      </c>
      <c r="I148" s="478">
        <v>250000000</v>
      </c>
      <c r="J148" s="474"/>
      <c r="K148" s="565"/>
      <c r="L148" s="520">
        <f t="shared" si="58"/>
        <v>0</v>
      </c>
      <c r="M148" s="521" t="e">
        <f t="shared" si="59"/>
        <v>#DIV/0!</v>
      </c>
    </row>
    <row r="149" spans="1:29" ht="18.75">
      <c r="A149" s="432" t="s">
        <v>5</v>
      </c>
      <c r="B149" s="433" t="s">
        <v>303</v>
      </c>
      <c r="C149" s="522"/>
      <c r="D149" s="522"/>
      <c r="E149" s="522"/>
      <c r="F149" s="522" t="s">
        <v>339</v>
      </c>
      <c r="G149" s="522"/>
      <c r="H149" s="523">
        <v>200</v>
      </c>
      <c r="I149" s="486">
        <f t="shared" ref="I149:K149" si="73">+I150+I173+I177+I181+I185</f>
        <v>3146456740</v>
      </c>
      <c r="J149" s="486">
        <f t="shared" si="73"/>
        <v>853096675</v>
      </c>
      <c r="K149" s="561">
        <f t="shared" si="73"/>
        <v>880092015</v>
      </c>
      <c r="L149" s="520">
        <f t="shared" si="58"/>
        <v>27.112931957869534</v>
      </c>
      <c r="M149" s="520">
        <f t="shared" si="59"/>
        <v>96.932668455127384</v>
      </c>
      <c r="AA149" s="129">
        <v>3133456740</v>
      </c>
      <c r="AB149" s="129"/>
      <c r="AC149" s="129"/>
    </row>
    <row r="150" spans="1:29" s="141" customFormat="1" ht="18.75">
      <c r="A150" s="427">
        <v>1</v>
      </c>
      <c r="B150" s="428" t="s">
        <v>6</v>
      </c>
      <c r="C150" s="123">
        <v>1029499</v>
      </c>
      <c r="D150" s="123">
        <v>412</v>
      </c>
      <c r="E150" s="123">
        <v>282</v>
      </c>
      <c r="F150" s="123">
        <v>12</v>
      </c>
      <c r="G150" s="123"/>
      <c r="H150" s="269">
        <v>200</v>
      </c>
      <c r="I150" s="472">
        <f t="shared" ref="I150:K150" si="74">I151+I161+I171+I168</f>
        <v>2835256740</v>
      </c>
      <c r="J150" s="472">
        <f t="shared" si="74"/>
        <v>755278327</v>
      </c>
      <c r="K150" s="558">
        <f t="shared" si="74"/>
        <v>686492164</v>
      </c>
      <c r="L150" s="520">
        <f t="shared" si="58"/>
        <v>26.638798396789987</v>
      </c>
      <c r="M150" s="520">
        <f t="shared" si="59"/>
        <v>110.01994874918921</v>
      </c>
      <c r="R150" s="385"/>
      <c r="S150" s="385"/>
      <c r="AA150" s="274">
        <f>+AA149-I149</f>
        <v>-13000000</v>
      </c>
    </row>
    <row r="151" spans="1:29" ht="18.75">
      <c r="A151" s="427" t="s">
        <v>8</v>
      </c>
      <c r="B151" s="420" t="s">
        <v>7</v>
      </c>
      <c r="C151" s="403"/>
      <c r="D151" s="403"/>
      <c r="E151" s="403"/>
      <c r="F151" s="403"/>
      <c r="G151" s="403"/>
      <c r="H151" s="519"/>
      <c r="I151" s="488">
        <f t="shared" ref="I151:K151" si="75">I152+I158</f>
        <v>2676506740</v>
      </c>
      <c r="J151" s="488">
        <f t="shared" si="75"/>
        <v>660217687</v>
      </c>
      <c r="K151" s="563">
        <f t="shared" si="75"/>
        <v>552563964</v>
      </c>
      <c r="L151" s="520">
        <f t="shared" si="58"/>
        <v>24.667140834474417</v>
      </c>
      <c r="M151" s="520">
        <f t="shared" si="59"/>
        <v>119.48258120574798</v>
      </c>
    </row>
    <row r="152" spans="1:29" ht="19.5">
      <c r="A152" s="434" t="s">
        <v>14</v>
      </c>
      <c r="B152" s="435" t="s">
        <v>67</v>
      </c>
      <c r="C152" s="403"/>
      <c r="D152" s="403"/>
      <c r="E152" s="403"/>
      <c r="F152" s="403"/>
      <c r="G152" s="403"/>
      <c r="H152" s="519"/>
      <c r="I152" s="487">
        <f>+I153+I157</f>
        <v>2676506740</v>
      </c>
      <c r="J152" s="487">
        <f>+J153+J157</f>
        <v>660217687</v>
      </c>
      <c r="K152" s="562">
        <f t="shared" ref="K152" si="76">+K153+K157</f>
        <v>429313704</v>
      </c>
      <c r="L152" s="520">
        <f t="shared" si="58"/>
        <v>24.667140834474417</v>
      </c>
      <c r="M152" s="520">
        <f t="shared" si="59"/>
        <v>153.78444266945647</v>
      </c>
    </row>
    <row r="153" spans="1:29" ht="18.75">
      <c r="A153" s="436" t="s">
        <v>96</v>
      </c>
      <c r="B153" s="437" t="s">
        <v>29</v>
      </c>
      <c r="C153" s="403"/>
      <c r="D153" s="403"/>
      <c r="E153" s="403"/>
      <c r="F153" s="403"/>
      <c r="G153" s="403"/>
      <c r="H153" s="519"/>
      <c r="I153" s="489">
        <f>+I154+I156+I155</f>
        <v>2502506740</v>
      </c>
      <c r="J153" s="665">
        <f t="shared" ref="J153:K153" si="77">+J154+J156+J155</f>
        <v>622586707</v>
      </c>
      <c r="K153" s="665">
        <f t="shared" si="77"/>
        <v>394893969</v>
      </c>
      <c r="L153" s="520">
        <f t="shared" si="58"/>
        <v>24.878522684818023</v>
      </c>
      <c r="M153" s="520">
        <f t="shared" si="59"/>
        <v>157.65920876851882</v>
      </c>
    </row>
    <row r="154" spans="1:29" ht="18.75">
      <c r="A154" s="436"/>
      <c r="B154" s="438" t="s">
        <v>35</v>
      </c>
      <c r="C154" s="403"/>
      <c r="D154" s="403"/>
      <c r="E154" s="403"/>
      <c r="F154" s="403"/>
      <c r="G154" s="403"/>
      <c r="H154" s="519"/>
      <c r="I154" s="596">
        <f>1460000000+304000000</f>
        <v>1764000000</v>
      </c>
      <c r="J154" s="474">
        <v>415960515</v>
      </c>
      <c r="K154" s="175">
        <v>309455247</v>
      </c>
      <c r="L154" s="520">
        <f t="shared" si="58"/>
        <v>23.580528061224491</v>
      </c>
      <c r="M154" s="520">
        <f t="shared" si="59"/>
        <v>134.41701797998599</v>
      </c>
    </row>
    <row r="155" spans="1:29" ht="31.5">
      <c r="A155" s="436"/>
      <c r="B155" s="613" t="s">
        <v>743</v>
      </c>
      <c r="C155" s="403"/>
      <c r="D155" s="403"/>
      <c r="E155" s="403"/>
      <c r="F155" s="403"/>
      <c r="G155" s="403"/>
      <c r="H155" s="519"/>
      <c r="I155" s="596">
        <f>233507000+2999740</f>
        <v>236506740</v>
      </c>
      <c r="J155" s="474">
        <v>124261572</v>
      </c>
      <c r="K155" s="565"/>
      <c r="L155" s="520"/>
      <c r="M155" s="520"/>
    </row>
    <row r="156" spans="1:29" ht="18.75">
      <c r="A156" s="436"/>
      <c r="B156" s="438" t="s">
        <v>10</v>
      </c>
      <c r="C156" s="403"/>
      <c r="D156" s="403"/>
      <c r="E156" s="403"/>
      <c r="F156" s="403"/>
      <c r="G156" s="403"/>
      <c r="H156" s="519"/>
      <c r="I156" s="475">
        <v>502000000</v>
      </c>
      <c r="J156" s="474">
        <v>82364620</v>
      </c>
      <c r="K156" s="565">
        <v>85438722</v>
      </c>
      <c r="L156" s="520">
        <f t="shared" si="58"/>
        <v>16.40729482071713</v>
      </c>
      <c r="M156" s="520">
        <f t="shared" si="59"/>
        <v>96.401980357337266</v>
      </c>
    </row>
    <row r="157" spans="1:29" ht="37.5">
      <c r="A157" s="436" t="s">
        <v>98</v>
      </c>
      <c r="B157" s="437" t="s">
        <v>349</v>
      </c>
      <c r="C157" s="403"/>
      <c r="D157" s="403"/>
      <c r="E157" s="403"/>
      <c r="F157" s="403"/>
      <c r="G157" s="403"/>
      <c r="H157" s="519"/>
      <c r="I157" s="475">
        <v>174000000</v>
      </c>
      <c r="J157" s="474">
        <v>37630980</v>
      </c>
      <c r="K157" s="565">
        <v>34419735</v>
      </c>
      <c r="L157" s="520">
        <f t="shared" si="58"/>
        <v>21.626999999999999</v>
      </c>
      <c r="M157" s="520">
        <f t="shared" si="59"/>
        <v>109.32966218362807</v>
      </c>
    </row>
    <row r="158" spans="1:29" ht="20.25" thickBot="1">
      <c r="A158" s="434" t="s">
        <v>15</v>
      </c>
      <c r="B158" s="445" t="s">
        <v>69</v>
      </c>
      <c r="C158" s="532">
        <v>1029495</v>
      </c>
      <c r="D158" s="532">
        <v>412</v>
      </c>
      <c r="E158" s="532"/>
      <c r="F158" s="532"/>
      <c r="G158" s="532"/>
      <c r="H158" s="533"/>
      <c r="I158" s="473">
        <f>SUM(I159:I160)</f>
        <v>0</v>
      </c>
      <c r="J158" s="473">
        <f t="shared" ref="J158:K158" si="78">SUM(J159:J160)</f>
        <v>0</v>
      </c>
      <c r="K158" s="473">
        <f t="shared" si="78"/>
        <v>123250260</v>
      </c>
      <c r="L158" s="521" t="e">
        <f t="shared" si="58"/>
        <v>#DIV/0!</v>
      </c>
      <c r="M158" s="521">
        <f t="shared" si="59"/>
        <v>0</v>
      </c>
      <c r="N158" s="129">
        <f>+I158+I361</f>
        <v>69580000</v>
      </c>
    </row>
    <row r="159" spans="1:29" ht="38.25" thickBot="1">
      <c r="A159" s="427"/>
      <c r="B159" s="437" t="s">
        <v>512</v>
      </c>
      <c r="C159" s="123">
        <v>1029495</v>
      </c>
      <c r="D159" s="123">
        <v>412</v>
      </c>
      <c r="E159" s="123">
        <v>340</v>
      </c>
      <c r="F159" s="123"/>
      <c r="G159" s="123"/>
      <c r="H159" s="269"/>
      <c r="I159" s="596"/>
      <c r="J159" s="597"/>
      <c r="K159" s="175">
        <v>56000000</v>
      </c>
      <c r="L159" s="521" t="e">
        <f t="shared" si="58"/>
        <v>#DIV/0!</v>
      </c>
      <c r="M159" s="521">
        <f t="shared" si="59"/>
        <v>0</v>
      </c>
    </row>
    <row r="160" spans="1:29" ht="33">
      <c r="A160" s="427"/>
      <c r="B160" s="156" t="s">
        <v>774</v>
      </c>
      <c r="C160" s="649"/>
      <c r="D160" s="649"/>
      <c r="E160" s="649"/>
      <c r="F160" s="649"/>
      <c r="G160" s="649"/>
      <c r="H160" s="648"/>
      <c r="I160" s="596"/>
      <c r="J160" s="651"/>
      <c r="K160" s="175">
        <v>67250260</v>
      </c>
      <c r="L160" s="521"/>
      <c r="M160" s="521"/>
    </row>
    <row r="161" spans="1:27" s="141" customFormat="1" ht="18.75">
      <c r="A161" s="427" t="s">
        <v>9</v>
      </c>
      <c r="B161" s="420" t="s">
        <v>461</v>
      </c>
      <c r="C161" s="123"/>
      <c r="D161" s="123"/>
      <c r="E161" s="123"/>
      <c r="F161" s="123"/>
      <c r="G161" s="123"/>
      <c r="H161" s="269"/>
      <c r="I161" s="488">
        <f t="shared" ref="I161:K161" si="79">+I162+I163</f>
        <v>145000000</v>
      </c>
      <c r="J161" s="488">
        <f t="shared" si="79"/>
        <v>81310640</v>
      </c>
      <c r="K161" s="563">
        <f t="shared" si="79"/>
        <v>121928200</v>
      </c>
      <c r="L161" s="520">
        <f t="shared" si="58"/>
        <v>56.076303448275866</v>
      </c>
      <c r="M161" s="520">
        <f t="shared" si="59"/>
        <v>66.687312697144719</v>
      </c>
      <c r="R161" s="385"/>
      <c r="S161" s="385"/>
      <c r="AA161" s="128"/>
    </row>
    <row r="162" spans="1:27" ht="18.75">
      <c r="A162" s="436" t="s">
        <v>14</v>
      </c>
      <c r="B162" s="437" t="s">
        <v>36</v>
      </c>
      <c r="C162" s="123">
        <v>1029495</v>
      </c>
      <c r="D162" s="123">
        <v>412</v>
      </c>
      <c r="E162" s="123">
        <v>341</v>
      </c>
      <c r="F162" s="123">
        <v>13</v>
      </c>
      <c r="G162" s="123"/>
      <c r="H162" s="269">
        <v>200</v>
      </c>
      <c r="I162" s="475">
        <v>54000000</v>
      </c>
      <c r="J162" s="474">
        <v>2221800</v>
      </c>
      <c r="K162" s="565">
        <v>40388200</v>
      </c>
      <c r="L162" s="520">
        <f t="shared" si="58"/>
        <v>4.1144444444444446</v>
      </c>
      <c r="M162" s="520">
        <f t="shared" si="59"/>
        <v>5.5011117108462368</v>
      </c>
    </row>
    <row r="163" spans="1:27" ht="18.75">
      <c r="A163" s="436" t="s">
        <v>15</v>
      </c>
      <c r="B163" s="446" t="s">
        <v>446</v>
      </c>
      <c r="C163" s="522"/>
      <c r="D163" s="522"/>
      <c r="E163" s="522"/>
      <c r="F163" s="522"/>
      <c r="G163" s="522"/>
      <c r="H163" s="523"/>
      <c r="I163" s="476">
        <f t="shared" ref="I163:K163" si="80">SUM(I164:I167)</f>
        <v>91000000</v>
      </c>
      <c r="J163" s="476">
        <f t="shared" si="80"/>
        <v>79088840</v>
      </c>
      <c r="K163" s="468">
        <f t="shared" si="80"/>
        <v>81540000</v>
      </c>
      <c r="L163" s="520">
        <f t="shared" si="58"/>
        <v>86.910813186813186</v>
      </c>
      <c r="M163" s="520">
        <f t="shared" si="59"/>
        <v>96.993917095903853</v>
      </c>
    </row>
    <row r="164" spans="1:27" ht="37.5">
      <c r="A164" s="427"/>
      <c r="B164" s="438" t="s">
        <v>475</v>
      </c>
      <c r="C164" s="403"/>
      <c r="D164" s="403"/>
      <c r="E164" s="403"/>
      <c r="F164" s="403"/>
      <c r="G164" s="403"/>
      <c r="H164" s="519"/>
      <c r="I164" s="487">
        <v>10000000</v>
      </c>
      <c r="J164" s="657">
        <v>88840</v>
      </c>
      <c r="K164" s="565">
        <v>3540000</v>
      </c>
      <c r="L164" s="520">
        <f t="shared" si="58"/>
        <v>0.88839999999999997</v>
      </c>
      <c r="M164" s="520">
        <f t="shared" si="59"/>
        <v>2.5096045197740113</v>
      </c>
    </row>
    <row r="165" spans="1:27" ht="18.75">
      <c r="A165" s="427"/>
      <c r="B165" s="438" t="s">
        <v>350</v>
      </c>
      <c r="C165" s="403"/>
      <c r="D165" s="403"/>
      <c r="E165" s="403"/>
      <c r="F165" s="403"/>
      <c r="G165" s="403"/>
      <c r="H165" s="519"/>
      <c r="I165" s="489">
        <v>10000000</v>
      </c>
      <c r="J165" s="654">
        <v>10000000</v>
      </c>
      <c r="K165" s="565">
        <v>10000000</v>
      </c>
      <c r="L165" s="521">
        <f t="shared" si="58"/>
        <v>100</v>
      </c>
      <c r="M165" s="521">
        <f t="shared" si="59"/>
        <v>100</v>
      </c>
      <c r="N165" s="401"/>
    </row>
    <row r="166" spans="1:27" ht="18.75">
      <c r="A166" s="427"/>
      <c r="B166" s="438" t="s">
        <v>506</v>
      </c>
      <c r="C166" s="522"/>
      <c r="D166" s="522"/>
      <c r="E166" s="522"/>
      <c r="F166" s="522"/>
      <c r="G166" s="522"/>
      <c r="H166" s="523"/>
      <c r="I166" s="595"/>
      <c r="J166" s="654"/>
      <c r="K166" s="565"/>
      <c r="L166" s="521" t="e">
        <f t="shared" ref="L166:L238" si="81">+J166/I166*100</f>
        <v>#DIV/0!</v>
      </c>
      <c r="M166" s="521" t="e">
        <f t="shared" ref="M166:M238" si="82">+J166/K166*100</f>
        <v>#DIV/0!</v>
      </c>
      <c r="N166" s="402"/>
    </row>
    <row r="167" spans="1:27" ht="18.75">
      <c r="A167" s="436"/>
      <c r="B167" s="447" t="s">
        <v>476</v>
      </c>
      <c r="C167" s="538">
        <v>1029495</v>
      </c>
      <c r="D167" s="538">
        <v>412</v>
      </c>
      <c r="E167" s="538">
        <v>341</v>
      </c>
      <c r="F167" s="538">
        <v>14</v>
      </c>
      <c r="G167" s="538"/>
      <c r="H167" s="539">
        <v>200</v>
      </c>
      <c r="I167" s="474">
        <v>71000000</v>
      </c>
      <c r="J167" s="654">
        <v>69000000</v>
      </c>
      <c r="K167" s="565">
        <v>68000000</v>
      </c>
      <c r="L167" s="521">
        <f t="shared" si="81"/>
        <v>97.183098591549296</v>
      </c>
      <c r="M167" s="521">
        <f t="shared" si="82"/>
        <v>101.47058823529412</v>
      </c>
    </row>
    <row r="168" spans="1:27" ht="18.75">
      <c r="A168" s="427" t="s">
        <v>20</v>
      </c>
      <c r="B168" s="439" t="s">
        <v>70</v>
      </c>
      <c r="C168" s="522"/>
      <c r="D168" s="522"/>
      <c r="E168" s="522"/>
      <c r="F168" s="522" t="s">
        <v>339</v>
      </c>
      <c r="G168" s="522"/>
      <c r="H168" s="523">
        <v>200</v>
      </c>
      <c r="I168" s="472">
        <f t="shared" ref="I168:K168" si="83">+I169+I170</f>
        <v>0</v>
      </c>
      <c r="J168" s="472">
        <f t="shared" si="83"/>
        <v>0</v>
      </c>
      <c r="K168" s="558">
        <f t="shared" si="83"/>
        <v>0</v>
      </c>
      <c r="L168" s="521" t="e">
        <f t="shared" si="81"/>
        <v>#DIV/0!</v>
      </c>
      <c r="M168" s="521" t="e">
        <f t="shared" si="82"/>
        <v>#DIV/0!</v>
      </c>
    </row>
    <row r="169" spans="1:27" s="141" customFormat="1" ht="37.5">
      <c r="A169" s="436"/>
      <c r="B169" s="447" t="s">
        <v>88</v>
      </c>
      <c r="C169" s="123">
        <v>1029495</v>
      </c>
      <c r="D169" s="123">
        <v>412</v>
      </c>
      <c r="E169" s="123">
        <v>341</v>
      </c>
      <c r="F169" s="123">
        <v>12</v>
      </c>
      <c r="G169" s="123"/>
      <c r="H169" s="269">
        <v>200</v>
      </c>
      <c r="I169" s="489">
        <v>0</v>
      </c>
      <c r="J169" s="474"/>
      <c r="K169" s="565"/>
      <c r="L169" s="521" t="e">
        <f t="shared" si="81"/>
        <v>#DIV/0!</v>
      </c>
      <c r="M169" s="521" t="e">
        <f t="shared" si="82"/>
        <v>#DIV/0!</v>
      </c>
      <c r="R169" s="385"/>
      <c r="S169" s="385"/>
      <c r="AA169" s="128"/>
    </row>
    <row r="170" spans="1:27" ht="56.25">
      <c r="A170" s="436"/>
      <c r="B170" s="447" t="s">
        <v>564</v>
      </c>
      <c r="C170" s="523"/>
      <c r="D170" s="523"/>
      <c r="E170" s="523"/>
      <c r="F170" s="523"/>
      <c r="G170" s="523"/>
      <c r="H170" s="523"/>
      <c r="I170" s="494">
        <v>0</v>
      </c>
      <c r="J170" s="474"/>
      <c r="K170" s="565"/>
      <c r="L170" s="521" t="e">
        <f t="shared" si="81"/>
        <v>#DIV/0!</v>
      </c>
      <c r="M170" s="521" t="e">
        <f t="shared" si="82"/>
        <v>#DIV/0!</v>
      </c>
    </row>
    <row r="171" spans="1:27" ht="19.5">
      <c r="A171" s="427" t="s">
        <v>686</v>
      </c>
      <c r="B171" s="445" t="s">
        <v>687</v>
      </c>
      <c r="C171" s="523"/>
      <c r="D171" s="523"/>
      <c r="E171" s="523"/>
      <c r="F171" s="523"/>
      <c r="G171" s="523"/>
      <c r="H171" s="523"/>
      <c r="I171" s="472">
        <f t="shared" ref="I171:K171" si="84">+I172</f>
        <v>13750000</v>
      </c>
      <c r="J171" s="472">
        <f t="shared" si="84"/>
        <v>13750000</v>
      </c>
      <c r="K171" s="558">
        <f t="shared" si="84"/>
        <v>12000000</v>
      </c>
      <c r="L171" s="521">
        <f t="shared" si="81"/>
        <v>100</v>
      </c>
      <c r="M171" s="521">
        <f t="shared" si="82"/>
        <v>114.58333333333333</v>
      </c>
    </row>
    <row r="172" spans="1:27" s="141" customFormat="1" ht="18.75">
      <c r="A172" s="436"/>
      <c r="B172" s="437" t="s">
        <v>690</v>
      </c>
      <c r="C172" s="540"/>
      <c r="D172" s="540"/>
      <c r="E172" s="540"/>
      <c r="F172" s="540"/>
      <c r="G172" s="540"/>
      <c r="H172" s="540"/>
      <c r="I172" s="488">
        <v>13750000</v>
      </c>
      <c r="J172" s="474">
        <v>13750000</v>
      </c>
      <c r="K172" s="565">
        <v>12000000</v>
      </c>
      <c r="L172" s="521">
        <f t="shared" si="81"/>
        <v>100</v>
      </c>
      <c r="M172" s="521">
        <f t="shared" si="82"/>
        <v>114.58333333333333</v>
      </c>
      <c r="R172" s="385"/>
      <c r="S172" s="385"/>
      <c r="AA172" s="128"/>
    </row>
    <row r="173" spans="1:27" s="141" customFormat="1" ht="18.75">
      <c r="A173" s="427">
        <v>2</v>
      </c>
      <c r="B173" s="420" t="s">
        <v>537</v>
      </c>
      <c r="C173" s="540"/>
      <c r="D173" s="540"/>
      <c r="E173" s="540"/>
      <c r="F173" s="540"/>
      <c r="G173" s="540"/>
      <c r="H173" s="540"/>
      <c r="I173" s="477">
        <f t="shared" ref="I173:K173" si="85">+I174+I175+I176</f>
        <v>11200000</v>
      </c>
      <c r="J173" s="477">
        <f t="shared" si="85"/>
        <v>0</v>
      </c>
      <c r="K173" s="555">
        <f t="shared" si="85"/>
        <v>0</v>
      </c>
      <c r="L173" s="520">
        <f t="shared" si="81"/>
        <v>0</v>
      </c>
      <c r="M173" s="520" t="e">
        <f t="shared" si="82"/>
        <v>#DIV/0!</v>
      </c>
      <c r="R173" s="385"/>
      <c r="S173" s="385"/>
      <c r="AA173" s="128"/>
    </row>
    <row r="174" spans="1:27" s="141" customFormat="1" ht="18.75">
      <c r="A174" s="436"/>
      <c r="B174" s="438" t="s">
        <v>540</v>
      </c>
      <c r="C174" s="540"/>
      <c r="D174" s="540"/>
      <c r="E174" s="540"/>
      <c r="F174" s="540"/>
      <c r="G174" s="540"/>
      <c r="H174" s="540"/>
      <c r="I174" s="489">
        <v>8400000</v>
      </c>
      <c r="J174" s="474"/>
      <c r="K174" s="565"/>
      <c r="L174" s="520">
        <f t="shared" si="81"/>
        <v>0</v>
      </c>
      <c r="M174" s="520" t="e">
        <f t="shared" si="82"/>
        <v>#DIV/0!</v>
      </c>
      <c r="R174" s="385"/>
      <c r="S174" s="385"/>
      <c r="AA174" s="128"/>
    </row>
    <row r="175" spans="1:27" s="141" customFormat="1" ht="37.5">
      <c r="A175" s="436"/>
      <c r="B175" s="438" t="s">
        <v>541</v>
      </c>
      <c r="C175" s="540"/>
      <c r="D175" s="540"/>
      <c r="E175" s="540"/>
      <c r="F175" s="540"/>
      <c r="G175" s="540"/>
      <c r="H175" s="540"/>
      <c r="I175" s="475">
        <v>1400000</v>
      </c>
      <c r="J175" s="474"/>
      <c r="K175" s="565"/>
      <c r="L175" s="520">
        <f t="shared" si="81"/>
        <v>0</v>
      </c>
      <c r="M175" s="520" t="e">
        <f t="shared" si="82"/>
        <v>#DIV/0!</v>
      </c>
      <c r="R175" s="385"/>
      <c r="S175" s="385"/>
      <c r="AA175" s="128"/>
    </row>
    <row r="176" spans="1:27" s="141" customFormat="1" ht="37.5">
      <c r="A176" s="436"/>
      <c r="B176" s="438" t="s">
        <v>542</v>
      </c>
      <c r="C176" s="540"/>
      <c r="D176" s="540"/>
      <c r="E176" s="540"/>
      <c r="F176" s="540"/>
      <c r="G176" s="540"/>
      <c r="H176" s="540"/>
      <c r="I176" s="475">
        <v>1400000</v>
      </c>
      <c r="J176" s="474"/>
      <c r="K176" s="565"/>
      <c r="L176" s="520">
        <f t="shared" si="81"/>
        <v>0</v>
      </c>
      <c r="M176" s="521" t="e">
        <f t="shared" si="82"/>
        <v>#DIV/0!</v>
      </c>
      <c r="R176" s="385"/>
      <c r="S176" s="385"/>
      <c r="AA176" s="128"/>
    </row>
    <row r="177" spans="1:29" s="379" customFormat="1" ht="18.75">
      <c r="A177" s="427">
        <v>3</v>
      </c>
      <c r="B177" s="428" t="s">
        <v>92</v>
      </c>
      <c r="C177" s="541"/>
      <c r="D177" s="541"/>
      <c r="E177" s="541"/>
      <c r="F177" s="541"/>
      <c r="G177" s="541"/>
      <c r="H177" s="541"/>
      <c r="I177" s="472">
        <f t="shared" ref="I177:K177" si="86">I178</f>
        <v>300000000</v>
      </c>
      <c r="J177" s="472">
        <f t="shared" si="86"/>
        <v>97818348</v>
      </c>
      <c r="K177" s="558">
        <f t="shared" si="86"/>
        <v>193599851</v>
      </c>
      <c r="L177" s="520">
        <f t="shared" si="81"/>
        <v>32.606116</v>
      </c>
      <c r="M177" s="520">
        <f t="shared" si="82"/>
        <v>50.526045084611148</v>
      </c>
      <c r="R177" s="393"/>
      <c r="S177" s="393"/>
      <c r="AA177" s="128"/>
    </row>
    <row r="178" spans="1:29" s="268" customFormat="1" ht="39">
      <c r="A178" s="434"/>
      <c r="B178" s="435" t="s">
        <v>513</v>
      </c>
      <c r="C178" s="540"/>
      <c r="D178" s="540"/>
      <c r="E178" s="540"/>
      <c r="F178" s="540"/>
      <c r="G178" s="540"/>
      <c r="H178" s="540"/>
      <c r="I178" s="487">
        <f t="shared" ref="I178:K178" si="87">I179+I180</f>
        <v>300000000</v>
      </c>
      <c r="J178" s="487">
        <f t="shared" si="87"/>
        <v>97818348</v>
      </c>
      <c r="K178" s="562">
        <f t="shared" si="87"/>
        <v>193599851</v>
      </c>
      <c r="L178" s="520">
        <f t="shared" si="81"/>
        <v>32.606116</v>
      </c>
      <c r="M178" s="520">
        <f t="shared" si="82"/>
        <v>50.526045084611148</v>
      </c>
      <c r="R178" s="389"/>
      <c r="S178" s="389"/>
      <c r="AA178" s="128"/>
    </row>
    <row r="179" spans="1:29" s="268" customFormat="1" ht="37.5">
      <c r="A179" s="436" t="s">
        <v>14</v>
      </c>
      <c r="B179" s="429" t="s">
        <v>459</v>
      </c>
      <c r="C179" s="540"/>
      <c r="D179" s="540"/>
      <c r="E179" s="540"/>
      <c r="F179" s="540"/>
      <c r="G179" s="540"/>
      <c r="H179" s="540"/>
      <c r="I179" s="477">
        <f>350000000*0</f>
        <v>0</v>
      </c>
      <c r="J179" s="474"/>
      <c r="K179" s="565">
        <v>92586272</v>
      </c>
      <c r="L179" s="521" t="e">
        <f t="shared" si="81"/>
        <v>#DIV/0!</v>
      </c>
      <c r="M179" s="521">
        <f t="shared" si="82"/>
        <v>0</v>
      </c>
      <c r="R179" s="389"/>
      <c r="S179" s="389"/>
      <c r="AA179" s="128"/>
    </row>
    <row r="180" spans="1:29" ht="37.5">
      <c r="A180" s="436" t="s">
        <v>15</v>
      </c>
      <c r="B180" s="429" t="s">
        <v>460</v>
      </c>
      <c r="C180" s="123">
        <v>1029495</v>
      </c>
      <c r="D180" s="123">
        <v>412</v>
      </c>
      <c r="E180" s="123">
        <v>280</v>
      </c>
      <c r="F180" s="123"/>
      <c r="G180" s="123"/>
      <c r="H180" s="269"/>
      <c r="I180" s="476">
        <v>300000000</v>
      </c>
      <c r="J180" s="474">
        <v>97818348</v>
      </c>
      <c r="K180" s="565">
        <v>101013579</v>
      </c>
      <c r="L180" s="520">
        <f t="shared" si="81"/>
        <v>32.606116</v>
      </c>
      <c r="M180" s="520">
        <f t="shared" si="82"/>
        <v>96.836830224578023</v>
      </c>
    </row>
    <row r="181" spans="1:29" ht="18.75">
      <c r="A181" s="427">
        <v>4</v>
      </c>
      <c r="B181" s="428" t="s">
        <v>532</v>
      </c>
      <c r="C181" s="123"/>
      <c r="D181" s="123"/>
      <c r="E181" s="123"/>
      <c r="F181" s="123"/>
      <c r="G181" s="123"/>
      <c r="H181" s="269"/>
      <c r="I181" s="472">
        <f t="shared" ref="I181:K181" si="88">+I182</f>
        <v>0</v>
      </c>
      <c r="J181" s="472">
        <f t="shared" si="88"/>
        <v>0</v>
      </c>
      <c r="K181" s="558">
        <f t="shared" si="88"/>
        <v>0</v>
      </c>
      <c r="L181" s="521" t="e">
        <f t="shared" si="81"/>
        <v>#DIV/0!</v>
      </c>
      <c r="M181" s="521" t="e">
        <f t="shared" si="82"/>
        <v>#DIV/0!</v>
      </c>
    </row>
    <row r="182" spans="1:29" ht="18.75">
      <c r="A182" s="427"/>
      <c r="B182" s="428" t="s">
        <v>514</v>
      </c>
      <c r="C182" s="123">
        <v>1029495</v>
      </c>
      <c r="D182" s="123">
        <v>412</v>
      </c>
      <c r="E182" s="123">
        <v>281</v>
      </c>
      <c r="F182" s="123">
        <v>13</v>
      </c>
      <c r="G182" s="123"/>
      <c r="H182" s="269">
        <v>200</v>
      </c>
      <c r="I182" s="472">
        <f>+I183+I184</f>
        <v>0</v>
      </c>
      <c r="J182" s="472">
        <f t="shared" ref="J182:K182" si="89">+J183+J184</f>
        <v>0</v>
      </c>
      <c r="K182" s="558">
        <f t="shared" si="89"/>
        <v>0</v>
      </c>
      <c r="L182" s="521" t="e">
        <f t="shared" si="81"/>
        <v>#DIV/0!</v>
      </c>
      <c r="M182" s="521" t="e">
        <f t="shared" si="82"/>
        <v>#DIV/0!</v>
      </c>
    </row>
    <row r="183" spans="1:29" ht="56.25">
      <c r="A183" s="436"/>
      <c r="B183" s="437" t="s">
        <v>533</v>
      </c>
      <c r="C183" s="522"/>
      <c r="D183" s="522"/>
      <c r="E183" s="522"/>
      <c r="F183" s="522"/>
      <c r="G183" s="522"/>
      <c r="H183" s="523"/>
      <c r="I183" s="600"/>
      <c r="J183" s="474">
        <v>0</v>
      </c>
      <c r="K183" s="565">
        <v>0</v>
      </c>
      <c r="L183" s="521" t="e">
        <f t="shared" si="81"/>
        <v>#DIV/0!</v>
      </c>
      <c r="M183" s="521" t="e">
        <f t="shared" si="82"/>
        <v>#DIV/0!</v>
      </c>
    </row>
    <row r="184" spans="1:29" ht="37.5">
      <c r="A184" s="436"/>
      <c r="B184" s="437" t="s">
        <v>691</v>
      </c>
      <c r="C184" s="403"/>
      <c r="D184" s="403"/>
      <c r="E184" s="403"/>
      <c r="F184" s="403"/>
      <c r="G184" s="403"/>
      <c r="H184" s="519"/>
      <c r="I184" s="490"/>
      <c r="J184" s="474"/>
      <c r="K184" s="565"/>
      <c r="L184" s="521" t="e">
        <f t="shared" si="81"/>
        <v>#DIV/0!</v>
      </c>
      <c r="M184" s="521" t="e">
        <f t="shared" si="82"/>
        <v>#DIV/0!</v>
      </c>
    </row>
    <row r="185" spans="1:29" ht="37.5">
      <c r="A185" s="427">
        <v>5</v>
      </c>
      <c r="B185" s="428" t="s">
        <v>692</v>
      </c>
      <c r="C185" s="522"/>
      <c r="D185" s="522"/>
      <c r="E185" s="522"/>
      <c r="F185" s="522"/>
      <c r="G185" s="522"/>
      <c r="H185" s="523"/>
      <c r="I185" s="472">
        <f t="shared" ref="I185:K185" si="90">+I186</f>
        <v>0</v>
      </c>
      <c r="J185" s="472">
        <f t="shared" si="90"/>
        <v>0</v>
      </c>
      <c r="K185" s="558">
        <f t="shared" si="90"/>
        <v>0</v>
      </c>
      <c r="L185" s="521" t="e">
        <f t="shared" si="81"/>
        <v>#DIV/0!</v>
      </c>
      <c r="M185" s="521" t="e">
        <f t="shared" si="82"/>
        <v>#DIV/0!</v>
      </c>
    </row>
    <row r="186" spans="1:29" ht="37.5">
      <c r="A186" s="436"/>
      <c r="B186" s="437" t="s">
        <v>693</v>
      </c>
      <c r="C186" s="538">
        <v>1029495</v>
      </c>
      <c r="D186" s="538">
        <v>412</v>
      </c>
      <c r="E186" s="538">
        <v>281</v>
      </c>
      <c r="F186" s="538">
        <v>14</v>
      </c>
      <c r="G186" s="538"/>
      <c r="H186" s="539">
        <v>200</v>
      </c>
      <c r="I186" s="495">
        <v>0</v>
      </c>
      <c r="J186" s="474">
        <v>0</v>
      </c>
      <c r="K186" s="565"/>
      <c r="L186" s="521" t="e">
        <f t="shared" si="81"/>
        <v>#DIV/0!</v>
      </c>
      <c r="M186" s="521" t="e">
        <f t="shared" si="82"/>
        <v>#DIV/0!</v>
      </c>
    </row>
    <row r="187" spans="1:29" ht="18.75">
      <c r="A187" s="432" t="s">
        <v>90</v>
      </c>
      <c r="B187" s="433" t="s">
        <v>304</v>
      </c>
      <c r="C187" s="522"/>
      <c r="D187" s="522"/>
      <c r="E187" s="522"/>
      <c r="F187" s="522" t="s">
        <v>339</v>
      </c>
      <c r="G187" s="522"/>
      <c r="H187" s="523">
        <v>200</v>
      </c>
      <c r="I187" s="486">
        <f>+I188+I222+I226</f>
        <v>19034572266</v>
      </c>
      <c r="J187" s="486">
        <f>+J188+J222+J226</f>
        <v>4547960215.75</v>
      </c>
      <c r="K187" s="561">
        <f>+K188+K222+K226</f>
        <v>5713554136</v>
      </c>
      <c r="L187" s="520">
        <f t="shared" si="81"/>
        <v>23.893156894697725</v>
      </c>
      <c r="M187" s="520">
        <f t="shared" si="82"/>
        <v>79.599494596440096</v>
      </c>
      <c r="AA187" s="129">
        <v>18992572266</v>
      </c>
      <c r="AB187" s="129"/>
      <c r="AC187" s="129"/>
    </row>
    <row r="188" spans="1:29" ht="18.75">
      <c r="A188" s="427">
        <v>1</v>
      </c>
      <c r="B188" s="428" t="s">
        <v>6</v>
      </c>
      <c r="C188" s="123">
        <v>1029495</v>
      </c>
      <c r="D188" s="123">
        <v>412</v>
      </c>
      <c r="E188" s="123">
        <v>281</v>
      </c>
      <c r="F188" s="123">
        <v>12</v>
      </c>
      <c r="G188" s="123"/>
      <c r="H188" s="269">
        <v>200</v>
      </c>
      <c r="I188" s="472">
        <f>I189+I200+I217+I219</f>
        <v>15040313595</v>
      </c>
      <c r="J188" s="472">
        <f t="shared" ref="J188:K188" si="91">J189+J200+J217+J219</f>
        <v>3621538355.75</v>
      </c>
      <c r="K188" s="472">
        <f t="shared" si="91"/>
        <v>3952836715</v>
      </c>
      <c r="L188" s="520">
        <f t="shared" si="81"/>
        <v>24.078875303198092</v>
      </c>
      <c r="M188" s="520">
        <f t="shared" si="82"/>
        <v>91.618718830636041</v>
      </c>
    </row>
    <row r="189" spans="1:29" ht="18.75">
      <c r="A189" s="427" t="s">
        <v>8</v>
      </c>
      <c r="B189" s="420" t="s">
        <v>7</v>
      </c>
      <c r="C189" s="522"/>
      <c r="D189" s="522"/>
      <c r="E189" s="522"/>
      <c r="F189" s="522"/>
      <c r="G189" s="522"/>
      <c r="H189" s="523"/>
      <c r="I189" s="488">
        <f t="shared" ref="I189:K189" si="92">I190+I197</f>
        <v>13784720319</v>
      </c>
      <c r="J189" s="488">
        <f t="shared" si="92"/>
        <v>3446180079.75</v>
      </c>
      <c r="K189" s="563">
        <f t="shared" si="92"/>
        <v>2944683337</v>
      </c>
      <c r="L189" s="520">
        <f t="shared" si="81"/>
        <v>25</v>
      </c>
      <c r="M189" s="520">
        <f t="shared" si="82"/>
        <v>117.03058310035188</v>
      </c>
      <c r="AA189" s="129">
        <f>+AA187-I187</f>
        <v>-42000000</v>
      </c>
    </row>
    <row r="190" spans="1:29" ht="18.75">
      <c r="A190" s="427" t="s">
        <v>14</v>
      </c>
      <c r="B190" s="420" t="s">
        <v>67</v>
      </c>
      <c r="C190" s="522"/>
      <c r="D190" s="522"/>
      <c r="E190" s="522"/>
      <c r="F190" s="522"/>
      <c r="G190" s="522"/>
      <c r="H190" s="523"/>
      <c r="I190" s="488">
        <f t="shared" ref="I190:K190" si="93">I191+I196</f>
        <v>13784720319</v>
      </c>
      <c r="J190" s="488">
        <f t="shared" si="93"/>
        <v>3446180079.75</v>
      </c>
      <c r="K190" s="563">
        <f t="shared" si="93"/>
        <v>2238058798</v>
      </c>
      <c r="L190" s="520">
        <f t="shared" si="81"/>
        <v>25</v>
      </c>
      <c r="M190" s="520">
        <f t="shared" si="82"/>
        <v>153.98076595796391</v>
      </c>
    </row>
    <row r="191" spans="1:29" ht="18.75">
      <c r="A191" s="436" t="s">
        <v>96</v>
      </c>
      <c r="B191" s="437" t="s">
        <v>29</v>
      </c>
      <c r="C191" s="522"/>
      <c r="D191" s="522"/>
      <c r="E191" s="522"/>
      <c r="F191" s="522"/>
      <c r="G191" s="522"/>
      <c r="H191" s="523"/>
      <c r="I191" s="489">
        <f t="shared" ref="I191:K191" si="94">SUM(I192:I195)</f>
        <v>12860720319</v>
      </c>
      <c r="J191" s="489">
        <f t="shared" si="94"/>
        <v>3215180079.75</v>
      </c>
      <c r="K191" s="564">
        <f t="shared" si="94"/>
        <v>2097346201</v>
      </c>
      <c r="L191" s="520">
        <f t="shared" si="81"/>
        <v>25</v>
      </c>
      <c r="M191" s="520">
        <f t="shared" si="82"/>
        <v>153.29753753657954</v>
      </c>
      <c r="AC191" s="129"/>
    </row>
    <row r="192" spans="1:29" ht="18.75">
      <c r="A192" s="436"/>
      <c r="B192" s="438" t="s">
        <v>37</v>
      </c>
      <c r="C192" s="522"/>
      <c r="D192" s="522"/>
      <c r="E192" s="522"/>
      <c r="F192" s="522"/>
      <c r="G192" s="522"/>
      <c r="H192" s="523"/>
      <c r="I192" s="593">
        <f>8028000000+1670000000</f>
        <v>9698000000</v>
      </c>
      <c r="J192" s="474">
        <f>I192/4</f>
        <v>2424500000</v>
      </c>
      <c r="K192" s="565">
        <v>1829075685</v>
      </c>
      <c r="L192" s="520">
        <f t="shared" si="81"/>
        <v>25</v>
      </c>
      <c r="M192" s="520">
        <f t="shared" si="82"/>
        <v>132.5532901608716</v>
      </c>
    </row>
    <row r="193" spans="1:28" ht="18.75">
      <c r="A193" s="436"/>
      <c r="B193" s="613" t="s">
        <v>744</v>
      </c>
      <c r="C193" s="522"/>
      <c r="D193" s="522"/>
      <c r="E193" s="522"/>
      <c r="F193" s="522"/>
      <c r="G193" s="522"/>
      <c r="H193" s="523"/>
      <c r="I193" s="614">
        <f>1344546000+2174319</f>
        <v>1346720319</v>
      </c>
      <c r="J193" s="474">
        <f t="shared" ref="J193:J196" si="95">I193/4</f>
        <v>336680079.75</v>
      </c>
      <c r="K193" s="565"/>
      <c r="L193" s="520"/>
      <c r="M193" s="520"/>
    </row>
    <row r="194" spans="1:28" ht="18.75">
      <c r="A194" s="427"/>
      <c r="B194" s="438" t="s">
        <v>10</v>
      </c>
      <c r="C194" s="522"/>
      <c r="D194" s="522"/>
      <c r="E194" s="522"/>
      <c r="F194" s="522"/>
      <c r="G194" s="522"/>
      <c r="H194" s="523"/>
      <c r="I194" s="475">
        <v>1714000000</v>
      </c>
      <c r="J194" s="474">
        <f t="shared" si="95"/>
        <v>428500000</v>
      </c>
      <c r="K194" s="565">
        <v>268270516</v>
      </c>
      <c r="L194" s="520">
        <f t="shared" si="81"/>
        <v>25</v>
      </c>
      <c r="M194" s="520">
        <f t="shared" si="82"/>
        <v>159.72683334310207</v>
      </c>
    </row>
    <row r="195" spans="1:28" ht="37.5">
      <c r="A195" s="427"/>
      <c r="B195" s="438" t="s">
        <v>534</v>
      </c>
      <c r="C195" s="522"/>
      <c r="D195" s="522"/>
      <c r="E195" s="522"/>
      <c r="F195" s="522"/>
      <c r="G195" s="522"/>
      <c r="H195" s="523"/>
      <c r="I195" s="475">
        <v>102000000</v>
      </c>
      <c r="J195" s="474">
        <f t="shared" si="95"/>
        <v>25500000</v>
      </c>
      <c r="K195" s="565"/>
      <c r="L195" s="521">
        <f t="shared" si="81"/>
        <v>25</v>
      </c>
      <c r="M195" s="521" t="e">
        <f t="shared" si="82"/>
        <v>#DIV/0!</v>
      </c>
    </row>
    <row r="196" spans="1:28" ht="37.5">
      <c r="A196" s="436" t="s">
        <v>98</v>
      </c>
      <c r="B196" s="437" t="s">
        <v>363</v>
      </c>
      <c r="C196" s="123">
        <v>1029495</v>
      </c>
      <c r="D196" s="123">
        <v>412</v>
      </c>
      <c r="E196" s="123">
        <v>250</v>
      </c>
      <c r="F196" s="123">
        <v>12</v>
      </c>
      <c r="G196" s="123"/>
      <c r="H196" s="269">
        <v>200</v>
      </c>
      <c r="I196" s="475">
        <v>924000000</v>
      </c>
      <c r="J196" s="474">
        <f t="shared" si="95"/>
        <v>231000000</v>
      </c>
      <c r="K196" s="565">
        <v>140712597</v>
      </c>
      <c r="L196" s="520">
        <f t="shared" si="81"/>
        <v>25</v>
      </c>
      <c r="M196" s="520">
        <f t="shared" si="82"/>
        <v>164.16440668776798</v>
      </c>
    </row>
    <row r="197" spans="1:28" ht="19.5" thickBot="1">
      <c r="A197" s="427" t="s">
        <v>15</v>
      </c>
      <c r="B197" s="420" t="s">
        <v>69</v>
      </c>
      <c r="C197" s="123"/>
      <c r="D197" s="123"/>
      <c r="E197" s="123"/>
      <c r="F197" s="123"/>
      <c r="G197" s="123"/>
      <c r="H197" s="269"/>
      <c r="I197" s="477">
        <f>SUM(I198:I199)</f>
        <v>0</v>
      </c>
      <c r="J197" s="477">
        <f t="shared" ref="J197:K197" si="96">SUM(J198:J199)</f>
        <v>0</v>
      </c>
      <c r="K197" s="477">
        <f t="shared" si="96"/>
        <v>706624539</v>
      </c>
      <c r="L197" s="521" t="e">
        <f t="shared" si="81"/>
        <v>#DIV/0!</v>
      </c>
      <c r="M197" s="521">
        <f t="shared" si="82"/>
        <v>0</v>
      </c>
    </row>
    <row r="198" spans="1:28" ht="38.25" thickBot="1">
      <c r="A198" s="427"/>
      <c r="B198" s="437" t="s">
        <v>515</v>
      </c>
      <c r="C198" s="522"/>
      <c r="D198" s="522"/>
      <c r="E198" s="522">
        <v>278</v>
      </c>
      <c r="F198" s="522">
        <v>12</v>
      </c>
      <c r="G198" s="522"/>
      <c r="H198" s="523">
        <v>200</v>
      </c>
      <c r="I198" s="591"/>
      <c r="J198" s="592"/>
      <c r="K198" s="565">
        <v>190000000</v>
      </c>
      <c r="L198" s="521" t="e">
        <f t="shared" si="81"/>
        <v>#DIV/0!</v>
      </c>
      <c r="M198" s="521">
        <f t="shared" si="82"/>
        <v>0</v>
      </c>
    </row>
    <row r="199" spans="1:28" ht="33">
      <c r="A199" s="427"/>
      <c r="B199" s="156" t="s">
        <v>774</v>
      </c>
      <c r="C199" s="522"/>
      <c r="D199" s="522"/>
      <c r="E199" s="522"/>
      <c r="F199" s="522"/>
      <c r="G199" s="522"/>
      <c r="H199" s="523"/>
      <c r="I199" s="591"/>
      <c r="J199" s="652"/>
      <c r="K199" s="565">
        <v>516624539</v>
      </c>
      <c r="L199" s="521"/>
      <c r="M199" s="521"/>
    </row>
    <row r="200" spans="1:28" ht="18.75">
      <c r="A200" s="436" t="s">
        <v>9</v>
      </c>
      <c r="B200" s="448" t="s">
        <v>461</v>
      </c>
      <c r="C200" s="532">
        <v>1029500</v>
      </c>
      <c r="D200" s="532">
        <v>412</v>
      </c>
      <c r="E200" s="532"/>
      <c r="F200" s="532"/>
      <c r="G200" s="532"/>
      <c r="H200" s="533"/>
      <c r="I200" s="489">
        <f>+I201+I202+I211+I213+I214+I215+I212+I216</f>
        <v>998093276</v>
      </c>
      <c r="J200" s="489">
        <f t="shared" ref="J200:K200" si="97">+J201+J202+J211+J213+J214+J215+J212+J216</f>
        <v>161358276</v>
      </c>
      <c r="K200" s="489">
        <f t="shared" si="97"/>
        <v>985520512</v>
      </c>
      <c r="L200" s="520">
        <f t="shared" si="81"/>
        <v>16.166652945170227</v>
      </c>
      <c r="M200" s="520">
        <f t="shared" si="82"/>
        <v>16.372898791577867</v>
      </c>
      <c r="N200" s="129">
        <f>+I200+10000000</f>
        <v>1008093276</v>
      </c>
    </row>
    <row r="201" spans="1:28" ht="18.75">
      <c r="A201" s="436" t="s">
        <v>14</v>
      </c>
      <c r="B201" s="449" t="s">
        <v>33</v>
      </c>
      <c r="C201" s="123">
        <v>1029500</v>
      </c>
      <c r="D201" s="123">
        <v>412</v>
      </c>
      <c r="E201" s="123">
        <v>340</v>
      </c>
      <c r="F201" s="123"/>
      <c r="G201" s="123"/>
      <c r="H201" s="269"/>
      <c r="I201" s="489">
        <v>120000000</v>
      </c>
      <c r="J201" s="474">
        <f t="shared" ref="J201" si="98">I201/4</f>
        <v>30000000</v>
      </c>
      <c r="K201" s="565">
        <v>47021000</v>
      </c>
      <c r="L201" s="520">
        <f t="shared" si="81"/>
        <v>25</v>
      </c>
      <c r="M201" s="520">
        <f t="shared" si="82"/>
        <v>63.801280279024262</v>
      </c>
    </row>
    <row r="202" spans="1:28" ht="18.75">
      <c r="A202" s="436" t="s">
        <v>15</v>
      </c>
      <c r="B202" s="450" t="s">
        <v>419</v>
      </c>
      <c r="C202" s="123"/>
      <c r="D202" s="123"/>
      <c r="E202" s="123"/>
      <c r="F202" s="123"/>
      <c r="G202" s="123"/>
      <c r="H202" s="269"/>
      <c r="I202" s="490">
        <f>SUM(I203:I210)</f>
        <v>490000000</v>
      </c>
      <c r="J202" s="490">
        <f t="shared" ref="J202:K202" si="99">SUM(J203:J210)</f>
        <v>122500000</v>
      </c>
      <c r="K202" s="490">
        <f t="shared" si="99"/>
        <v>938499512</v>
      </c>
      <c r="L202" s="520">
        <f t="shared" si="81"/>
        <v>25</v>
      </c>
      <c r="M202" s="520">
        <f t="shared" si="82"/>
        <v>13.052750527162768</v>
      </c>
      <c r="AB202" s="129"/>
    </row>
    <row r="203" spans="1:28" ht="19.5">
      <c r="A203" s="434"/>
      <c r="B203" s="451" t="s">
        <v>351</v>
      </c>
      <c r="C203" s="123">
        <v>1029500</v>
      </c>
      <c r="D203" s="123">
        <v>412</v>
      </c>
      <c r="E203" s="123">
        <v>341</v>
      </c>
      <c r="F203" s="123">
        <v>13</v>
      </c>
      <c r="G203" s="123"/>
      <c r="H203" s="269">
        <v>200</v>
      </c>
      <c r="I203" s="478">
        <v>80000000</v>
      </c>
      <c r="J203" s="474">
        <f t="shared" ref="J203:J210" si="100">I203/4</f>
        <v>20000000</v>
      </c>
      <c r="K203" s="565">
        <v>2111500</v>
      </c>
      <c r="L203" s="520">
        <f t="shared" si="81"/>
        <v>25</v>
      </c>
      <c r="M203" s="520">
        <f t="shared" si="82"/>
        <v>947.19393795879705</v>
      </c>
    </row>
    <row r="204" spans="1:28" ht="37.5">
      <c r="A204" s="434"/>
      <c r="B204" s="451" t="s">
        <v>477</v>
      </c>
      <c r="C204" s="522"/>
      <c r="D204" s="522"/>
      <c r="E204" s="522"/>
      <c r="F204" s="522"/>
      <c r="G204" s="522"/>
      <c r="H204" s="523"/>
      <c r="I204" s="478">
        <v>90000000</v>
      </c>
      <c r="J204" s="474">
        <f t="shared" si="100"/>
        <v>22500000</v>
      </c>
      <c r="K204" s="565">
        <v>28674212</v>
      </c>
      <c r="L204" s="520">
        <f t="shared" si="81"/>
        <v>25</v>
      </c>
      <c r="M204" s="520">
        <f t="shared" si="82"/>
        <v>78.467718659539798</v>
      </c>
    </row>
    <row r="205" spans="1:28" ht="18.75">
      <c r="A205" s="442"/>
      <c r="B205" s="451" t="s">
        <v>350</v>
      </c>
      <c r="C205" s="403"/>
      <c r="D205" s="403"/>
      <c r="E205" s="403"/>
      <c r="F205" s="403"/>
      <c r="G205" s="403"/>
      <c r="H205" s="519"/>
      <c r="I205" s="478">
        <v>10000000</v>
      </c>
      <c r="J205" s="474">
        <f t="shared" si="100"/>
        <v>2500000</v>
      </c>
      <c r="K205" s="571">
        <v>10000000</v>
      </c>
      <c r="L205" s="520">
        <f t="shared" si="81"/>
        <v>25</v>
      </c>
      <c r="M205" s="521">
        <f t="shared" si="82"/>
        <v>25</v>
      </c>
    </row>
    <row r="206" spans="1:28" ht="37.5">
      <c r="A206" s="442"/>
      <c r="B206" s="451" t="s">
        <v>478</v>
      </c>
      <c r="C206" s="403"/>
      <c r="D206" s="403"/>
      <c r="E206" s="403"/>
      <c r="F206" s="403"/>
      <c r="G206" s="403"/>
      <c r="H206" s="519"/>
      <c r="I206" s="590">
        <f>130000000-50000000</f>
        <v>80000000</v>
      </c>
      <c r="J206" s="474">
        <f t="shared" si="100"/>
        <v>20000000</v>
      </c>
      <c r="K206" s="571">
        <v>78273800</v>
      </c>
      <c r="L206" s="520">
        <f t="shared" si="81"/>
        <v>25</v>
      </c>
      <c r="M206" s="520">
        <f t="shared" si="82"/>
        <v>25.551333907386635</v>
      </c>
    </row>
    <row r="207" spans="1:28" ht="18.75">
      <c r="A207" s="442"/>
      <c r="B207" s="451" t="s">
        <v>480</v>
      </c>
      <c r="C207" s="522"/>
      <c r="D207" s="522"/>
      <c r="E207" s="522"/>
      <c r="F207" s="522"/>
      <c r="G207" s="522"/>
      <c r="H207" s="523"/>
      <c r="I207" s="491">
        <v>180000000</v>
      </c>
      <c r="J207" s="474">
        <f t="shared" si="100"/>
        <v>45000000</v>
      </c>
      <c r="K207" s="571"/>
      <c r="L207" s="520">
        <f t="shared" si="81"/>
        <v>25</v>
      </c>
      <c r="M207" s="521" t="e">
        <f t="shared" si="82"/>
        <v>#DIV/0!</v>
      </c>
      <c r="O207" s="399"/>
    </row>
    <row r="208" spans="1:28" ht="19.5">
      <c r="A208" s="434"/>
      <c r="B208" s="451" t="s">
        <v>479</v>
      </c>
      <c r="C208" s="538">
        <v>1029500</v>
      </c>
      <c r="D208" s="538">
        <v>412</v>
      </c>
      <c r="E208" s="538">
        <v>341</v>
      </c>
      <c r="F208" s="538">
        <v>14</v>
      </c>
      <c r="G208" s="538"/>
      <c r="H208" s="539">
        <v>200</v>
      </c>
      <c r="I208" s="489">
        <v>50000000</v>
      </c>
      <c r="J208" s="474">
        <f t="shared" si="100"/>
        <v>12500000</v>
      </c>
      <c r="K208" s="565">
        <v>31000000</v>
      </c>
      <c r="L208" s="520">
        <f t="shared" si="81"/>
        <v>25</v>
      </c>
      <c r="M208" s="520">
        <f t="shared" si="82"/>
        <v>40.322580645161288</v>
      </c>
    </row>
    <row r="209" spans="1:27" ht="19.5">
      <c r="A209" s="434"/>
      <c r="B209" s="451" t="s">
        <v>506</v>
      </c>
      <c r="C209" s="522"/>
      <c r="D209" s="522"/>
      <c r="E209" s="522"/>
      <c r="F209" s="522" t="s">
        <v>339</v>
      </c>
      <c r="G209" s="522"/>
      <c r="H209" s="523">
        <v>200</v>
      </c>
      <c r="I209" s="595"/>
      <c r="J209" s="474">
        <f t="shared" si="100"/>
        <v>0</v>
      </c>
      <c r="K209" s="565">
        <v>788440000</v>
      </c>
      <c r="L209" s="521" t="e">
        <f t="shared" si="81"/>
        <v>#DIV/0!</v>
      </c>
      <c r="M209" s="521">
        <f t="shared" si="82"/>
        <v>0</v>
      </c>
    </row>
    <row r="210" spans="1:27" ht="19.5">
      <c r="A210" s="434"/>
      <c r="B210" s="451" t="s">
        <v>694</v>
      </c>
      <c r="C210" s="123">
        <v>1029500</v>
      </c>
      <c r="D210" s="123">
        <v>412</v>
      </c>
      <c r="E210" s="123">
        <v>341</v>
      </c>
      <c r="F210" s="123">
        <v>12</v>
      </c>
      <c r="G210" s="123"/>
      <c r="H210" s="269">
        <v>200</v>
      </c>
      <c r="I210" s="489"/>
      <c r="J210" s="474">
        <f t="shared" si="100"/>
        <v>0</v>
      </c>
      <c r="K210" s="565"/>
      <c r="L210" s="521" t="e">
        <f t="shared" si="81"/>
        <v>#DIV/0!</v>
      </c>
      <c r="M210" s="521" t="e">
        <f t="shared" si="82"/>
        <v>#DIV/0!</v>
      </c>
    </row>
    <row r="211" spans="1:27" ht="37.5">
      <c r="A211" s="434" t="s">
        <v>313</v>
      </c>
      <c r="B211" s="437" t="s">
        <v>695</v>
      </c>
      <c r="C211" s="523"/>
      <c r="D211" s="523"/>
      <c r="E211" s="523"/>
      <c r="F211" s="523"/>
      <c r="G211" s="523"/>
      <c r="H211" s="523"/>
      <c r="I211" s="489">
        <v>112163000</v>
      </c>
      <c r="J211" s="474"/>
      <c r="K211" s="565"/>
      <c r="L211" s="520">
        <f t="shared" si="81"/>
        <v>0</v>
      </c>
      <c r="M211" s="521" t="e">
        <f t="shared" si="82"/>
        <v>#DIV/0!</v>
      </c>
    </row>
    <row r="212" spans="1:27" ht="37.5">
      <c r="A212" s="434" t="s">
        <v>314</v>
      </c>
      <c r="B212" s="437" t="s">
        <v>739</v>
      </c>
      <c r="C212" s="523"/>
      <c r="D212" s="523"/>
      <c r="E212" s="523"/>
      <c r="F212" s="523"/>
      <c r="G212" s="523"/>
      <c r="H212" s="523"/>
      <c r="I212" s="489">
        <v>267072000</v>
      </c>
      <c r="J212" s="489"/>
      <c r="K212" s="565"/>
      <c r="L212" s="520"/>
      <c r="M212" s="520"/>
    </row>
    <row r="213" spans="1:27" ht="37.5">
      <c r="A213" s="434" t="s">
        <v>315</v>
      </c>
      <c r="B213" s="437" t="s">
        <v>696</v>
      </c>
      <c r="C213" s="523"/>
      <c r="D213" s="523"/>
      <c r="E213" s="523"/>
      <c r="F213" s="523"/>
      <c r="G213" s="523"/>
      <c r="H213" s="523"/>
      <c r="I213" s="489">
        <v>0</v>
      </c>
      <c r="J213" s="474"/>
      <c r="K213" s="565"/>
      <c r="L213" s="521" t="e">
        <f t="shared" si="81"/>
        <v>#DIV/0!</v>
      </c>
      <c r="M213" s="521" t="e">
        <f t="shared" si="82"/>
        <v>#DIV/0!</v>
      </c>
    </row>
    <row r="214" spans="1:27" s="141" customFormat="1" ht="37.5">
      <c r="A214" s="434" t="s">
        <v>316</v>
      </c>
      <c r="B214" s="437" t="s">
        <v>697</v>
      </c>
      <c r="C214" s="522"/>
      <c r="D214" s="522"/>
      <c r="E214" s="522"/>
      <c r="F214" s="522"/>
      <c r="G214" s="522"/>
      <c r="H214" s="523"/>
      <c r="I214" s="489">
        <v>0</v>
      </c>
      <c r="J214" s="474"/>
      <c r="K214" s="565"/>
      <c r="L214" s="521" t="e">
        <f t="shared" si="81"/>
        <v>#DIV/0!</v>
      </c>
      <c r="M214" s="521" t="e">
        <f t="shared" si="82"/>
        <v>#DIV/0!</v>
      </c>
      <c r="R214" s="385"/>
      <c r="S214" s="385"/>
      <c r="AA214" s="128"/>
    </row>
    <row r="215" spans="1:27" s="141" customFormat="1" ht="37.5">
      <c r="A215" s="434" t="s">
        <v>317</v>
      </c>
      <c r="B215" s="437" t="s">
        <v>698</v>
      </c>
      <c r="C215" s="403"/>
      <c r="D215" s="403"/>
      <c r="E215" s="403"/>
      <c r="F215" s="403"/>
      <c r="G215" s="403"/>
      <c r="H215" s="519"/>
      <c r="I215" s="494">
        <v>0</v>
      </c>
      <c r="J215" s="474"/>
      <c r="K215" s="565"/>
      <c r="L215" s="521" t="e">
        <f t="shared" si="81"/>
        <v>#DIV/0!</v>
      </c>
      <c r="M215" s="521" t="e">
        <f t="shared" si="82"/>
        <v>#DIV/0!</v>
      </c>
      <c r="R215" s="385"/>
      <c r="S215" s="385"/>
      <c r="AA215" s="128"/>
    </row>
    <row r="216" spans="1:27" s="141" customFormat="1" ht="56.25">
      <c r="A216" s="434" t="s">
        <v>318</v>
      </c>
      <c r="B216" s="615" t="s">
        <v>745</v>
      </c>
      <c r="C216" s="403"/>
      <c r="D216" s="403"/>
      <c r="E216" s="403"/>
      <c r="F216" s="403"/>
      <c r="G216" s="403"/>
      <c r="H216" s="519"/>
      <c r="I216" s="616">
        <v>8858276</v>
      </c>
      <c r="J216" s="616">
        <v>8858276</v>
      </c>
      <c r="K216" s="616"/>
      <c r="L216" s="521"/>
      <c r="M216" s="521"/>
      <c r="R216" s="385"/>
      <c r="S216" s="385"/>
      <c r="AA216" s="128"/>
    </row>
    <row r="217" spans="1:27" s="141" customFormat="1" ht="19.5">
      <c r="A217" s="434" t="s">
        <v>20</v>
      </c>
      <c r="B217" s="439" t="s">
        <v>70</v>
      </c>
      <c r="C217" s="522"/>
      <c r="D217" s="522"/>
      <c r="E217" s="522"/>
      <c r="F217" s="522"/>
      <c r="G217" s="522"/>
      <c r="H217" s="523"/>
      <c r="I217" s="472">
        <f t="shared" ref="I217:K217" si="101">+I218</f>
        <v>0</v>
      </c>
      <c r="J217" s="472">
        <f t="shared" si="101"/>
        <v>0</v>
      </c>
      <c r="K217" s="558">
        <f t="shared" si="101"/>
        <v>22632866</v>
      </c>
      <c r="L217" s="521" t="e">
        <f t="shared" si="81"/>
        <v>#DIV/0!</v>
      </c>
      <c r="M217" s="521">
        <f t="shared" si="82"/>
        <v>0</v>
      </c>
      <c r="R217" s="385"/>
      <c r="S217" s="385"/>
      <c r="AA217" s="128"/>
    </row>
    <row r="218" spans="1:27" s="141" customFormat="1" ht="37.5">
      <c r="A218" s="434"/>
      <c r="B218" s="437" t="s">
        <v>88</v>
      </c>
      <c r="C218" s="403"/>
      <c r="D218" s="403"/>
      <c r="E218" s="403"/>
      <c r="F218" s="403"/>
      <c r="G218" s="403"/>
      <c r="H218" s="519"/>
      <c r="I218" s="487">
        <v>0</v>
      </c>
      <c r="J218" s="474"/>
      <c r="K218" s="565">
        <v>22632866</v>
      </c>
      <c r="L218" s="521" t="e">
        <f t="shared" si="81"/>
        <v>#DIV/0!</v>
      </c>
      <c r="M218" s="521">
        <f t="shared" si="82"/>
        <v>0</v>
      </c>
      <c r="R218" s="385"/>
      <c r="S218" s="385"/>
      <c r="AA218" s="128"/>
    </row>
    <row r="219" spans="1:27" s="141" customFormat="1" ht="19.5">
      <c r="A219" s="434"/>
      <c r="B219" s="617" t="s">
        <v>687</v>
      </c>
      <c r="C219" s="403"/>
      <c r="D219" s="403"/>
      <c r="E219" s="403"/>
      <c r="F219" s="403"/>
      <c r="G219" s="403"/>
      <c r="H219" s="519"/>
      <c r="I219" s="487">
        <f>SUM(I220:I221)</f>
        <v>257500000</v>
      </c>
      <c r="J219" s="487">
        <f t="shared" ref="J219:K219" si="102">SUM(J220:J221)</f>
        <v>14000000</v>
      </c>
      <c r="K219" s="487">
        <f t="shared" si="102"/>
        <v>0</v>
      </c>
      <c r="L219" s="521"/>
      <c r="M219" s="521"/>
      <c r="R219" s="385"/>
      <c r="S219" s="385"/>
      <c r="AA219" s="128"/>
    </row>
    <row r="220" spans="1:27" s="141" customFormat="1" ht="36">
      <c r="A220" s="434"/>
      <c r="B220" s="618" t="s">
        <v>746</v>
      </c>
      <c r="C220" s="403"/>
      <c r="D220" s="403"/>
      <c r="E220" s="403"/>
      <c r="F220" s="403"/>
      <c r="G220" s="403"/>
      <c r="H220" s="519"/>
      <c r="I220" s="619">
        <v>243500000</v>
      </c>
      <c r="J220" s="619"/>
      <c r="K220" s="565"/>
      <c r="L220" s="521"/>
      <c r="M220" s="521"/>
      <c r="R220" s="385"/>
      <c r="S220" s="385"/>
      <c r="AA220" s="128"/>
    </row>
    <row r="221" spans="1:27" s="141" customFormat="1" ht="19.5">
      <c r="A221" s="434"/>
      <c r="B221" s="630" t="s">
        <v>757</v>
      </c>
      <c r="C221" s="403"/>
      <c r="D221" s="403"/>
      <c r="E221" s="403"/>
      <c r="F221" s="403"/>
      <c r="G221" s="403"/>
      <c r="H221" s="519"/>
      <c r="I221" s="619">
        <v>14000000</v>
      </c>
      <c r="J221" s="619">
        <v>14000000</v>
      </c>
      <c r="K221" s="565"/>
      <c r="L221" s="521"/>
      <c r="M221" s="521"/>
      <c r="R221" s="385"/>
      <c r="S221" s="385"/>
      <c r="AA221" s="128"/>
    </row>
    <row r="222" spans="1:27" s="141" customFormat="1" ht="19.5">
      <c r="A222" s="434">
        <v>2</v>
      </c>
      <c r="B222" s="420" t="s">
        <v>537</v>
      </c>
      <c r="C222" s="403"/>
      <c r="D222" s="403"/>
      <c r="E222" s="403"/>
      <c r="F222" s="403"/>
      <c r="G222" s="403"/>
      <c r="H222" s="519"/>
      <c r="I222" s="477">
        <f t="shared" ref="I222:K222" si="103">SUM(I223:I225)</f>
        <v>59500000</v>
      </c>
      <c r="J222" s="477">
        <f t="shared" si="103"/>
        <v>0</v>
      </c>
      <c r="K222" s="555">
        <f t="shared" si="103"/>
        <v>0</v>
      </c>
      <c r="L222" s="520">
        <f t="shared" si="81"/>
        <v>0</v>
      </c>
      <c r="M222" s="520" t="e">
        <f t="shared" si="82"/>
        <v>#DIV/0!</v>
      </c>
      <c r="R222" s="385"/>
      <c r="S222" s="385"/>
      <c r="AA222" s="128"/>
    </row>
    <row r="223" spans="1:27" s="141" customFormat="1" ht="19.5">
      <c r="A223" s="434"/>
      <c r="B223" s="438" t="s">
        <v>543</v>
      </c>
      <c r="C223" s="403"/>
      <c r="D223" s="403"/>
      <c r="E223" s="403"/>
      <c r="F223" s="403"/>
      <c r="G223" s="403"/>
      <c r="H223" s="519"/>
      <c r="I223" s="489">
        <v>50400000</v>
      </c>
      <c r="J223" s="474"/>
      <c r="K223" s="565"/>
      <c r="L223" s="520">
        <f t="shared" si="81"/>
        <v>0</v>
      </c>
      <c r="M223" s="520" t="e">
        <f t="shared" si="82"/>
        <v>#DIV/0!</v>
      </c>
      <c r="R223" s="385"/>
      <c r="S223" s="385"/>
      <c r="AA223" s="128"/>
    </row>
    <row r="224" spans="1:27" s="268" customFormat="1" ht="37.5">
      <c r="A224" s="434"/>
      <c r="B224" s="438" t="s">
        <v>544</v>
      </c>
      <c r="C224" s="403"/>
      <c r="D224" s="403"/>
      <c r="E224" s="403"/>
      <c r="F224" s="403"/>
      <c r="G224" s="403"/>
      <c r="H224" s="519"/>
      <c r="I224" s="478">
        <v>7000000</v>
      </c>
      <c r="J224" s="474"/>
      <c r="K224" s="565"/>
      <c r="L224" s="520">
        <f t="shared" si="81"/>
        <v>0</v>
      </c>
      <c r="M224" s="520" t="e">
        <f t="shared" si="82"/>
        <v>#DIV/0!</v>
      </c>
      <c r="R224" s="389"/>
      <c r="S224" s="389"/>
      <c r="AA224" s="128"/>
    </row>
    <row r="225" spans="1:27" s="268" customFormat="1" ht="37.5">
      <c r="A225" s="434"/>
      <c r="B225" s="438" t="s">
        <v>545</v>
      </c>
      <c r="C225" s="403"/>
      <c r="D225" s="403"/>
      <c r="E225" s="403"/>
      <c r="F225" s="403"/>
      <c r="G225" s="403"/>
      <c r="H225" s="519"/>
      <c r="I225" s="478">
        <v>2100000</v>
      </c>
      <c r="J225" s="474"/>
      <c r="K225" s="565"/>
      <c r="L225" s="520">
        <f t="shared" si="81"/>
        <v>0</v>
      </c>
      <c r="M225" s="520" t="e">
        <f t="shared" si="82"/>
        <v>#DIV/0!</v>
      </c>
      <c r="R225" s="389"/>
      <c r="S225" s="389"/>
      <c r="AA225" s="128"/>
    </row>
    <row r="226" spans="1:27" s="268" customFormat="1" ht="18.75">
      <c r="A226" s="427">
        <v>3</v>
      </c>
      <c r="B226" s="428" t="s">
        <v>85</v>
      </c>
      <c r="C226" s="403"/>
      <c r="D226" s="403"/>
      <c r="E226" s="403"/>
      <c r="F226" s="403"/>
      <c r="G226" s="403"/>
      <c r="H226" s="519"/>
      <c r="I226" s="472">
        <f t="shared" ref="I226:K226" si="104">I227+I237</f>
        <v>3934758671</v>
      </c>
      <c r="J226" s="472">
        <f t="shared" si="104"/>
        <v>926421860</v>
      </c>
      <c r="K226" s="558">
        <f t="shared" si="104"/>
        <v>1760717421</v>
      </c>
      <c r="L226" s="520">
        <f t="shared" si="81"/>
        <v>23.544566197361078</v>
      </c>
      <c r="M226" s="520">
        <f t="shared" si="82"/>
        <v>52.616157990521749</v>
      </c>
      <c r="R226" s="389"/>
      <c r="S226" s="389"/>
      <c r="AA226" s="128"/>
    </row>
    <row r="227" spans="1:27" s="268" customFormat="1" ht="19.5">
      <c r="A227" s="434" t="s">
        <v>623</v>
      </c>
      <c r="B227" s="435" t="s">
        <v>7</v>
      </c>
      <c r="C227" s="403"/>
      <c r="D227" s="403"/>
      <c r="E227" s="403"/>
      <c r="F227" s="403"/>
      <c r="G227" s="403"/>
      <c r="H227" s="519"/>
      <c r="I227" s="487">
        <f t="shared" ref="I227:K227" si="105">I228+I234</f>
        <v>2216071231</v>
      </c>
      <c r="J227" s="487">
        <f t="shared" si="105"/>
        <v>496750000</v>
      </c>
      <c r="K227" s="562">
        <f t="shared" si="105"/>
        <v>514173363</v>
      </c>
      <c r="L227" s="520">
        <f t="shared" si="81"/>
        <v>22.415795713201963</v>
      </c>
      <c r="M227" s="520">
        <f t="shared" si="82"/>
        <v>96.611383581144409</v>
      </c>
      <c r="R227" s="389"/>
      <c r="S227" s="389"/>
      <c r="AA227" s="128"/>
    </row>
    <row r="228" spans="1:27" ht="18.75">
      <c r="A228" s="427" t="s">
        <v>14</v>
      </c>
      <c r="B228" s="420" t="s">
        <v>67</v>
      </c>
      <c r="C228" s="123">
        <v>1029500</v>
      </c>
      <c r="D228" s="123">
        <v>412</v>
      </c>
      <c r="E228" s="123">
        <v>280</v>
      </c>
      <c r="F228" s="123"/>
      <c r="G228" s="123"/>
      <c r="H228" s="269"/>
      <c r="I228" s="488">
        <f>+I229+I233</f>
        <v>2216071231</v>
      </c>
      <c r="J228" s="488">
        <f t="shared" ref="J228:K228" si="106">+J229</f>
        <v>496750000</v>
      </c>
      <c r="K228" s="563">
        <f t="shared" si="106"/>
        <v>393253594</v>
      </c>
      <c r="L228" s="520">
        <f t="shared" si="81"/>
        <v>22.415795713201963</v>
      </c>
      <c r="M228" s="520">
        <f t="shared" si="82"/>
        <v>126.31798096166922</v>
      </c>
    </row>
    <row r="229" spans="1:27" ht="18.75">
      <c r="A229" s="436"/>
      <c r="B229" s="437" t="s">
        <v>71</v>
      </c>
      <c r="C229" s="123"/>
      <c r="D229" s="123"/>
      <c r="E229" s="123"/>
      <c r="F229" s="123"/>
      <c r="G229" s="123"/>
      <c r="H229" s="269"/>
      <c r="I229" s="489">
        <f>SUM(I230:I232)</f>
        <v>2216071231</v>
      </c>
      <c r="J229" s="489">
        <f t="shared" ref="J229:K229" si="107">J230+J232+J233</f>
        <v>496750000</v>
      </c>
      <c r="K229" s="564">
        <f t="shared" si="107"/>
        <v>393253594</v>
      </c>
      <c r="L229" s="520">
        <f t="shared" si="81"/>
        <v>22.415795713201963</v>
      </c>
      <c r="M229" s="520">
        <f t="shared" si="82"/>
        <v>126.31798096166922</v>
      </c>
    </row>
    <row r="230" spans="1:27" ht="18.75">
      <c r="A230" s="427"/>
      <c r="B230" s="438" t="s">
        <v>38</v>
      </c>
      <c r="C230" s="123">
        <v>1029500</v>
      </c>
      <c r="D230" s="123">
        <v>412</v>
      </c>
      <c r="E230" s="123">
        <v>281</v>
      </c>
      <c r="F230" s="123">
        <v>13</v>
      </c>
      <c r="G230" s="123"/>
      <c r="H230" s="269">
        <v>200</v>
      </c>
      <c r="I230" s="595">
        <f>1361000000+283000000</f>
        <v>1644000000</v>
      </c>
      <c r="J230" s="474">
        <f>I230/4</f>
        <v>411000000</v>
      </c>
      <c r="K230" s="565">
        <v>314113283</v>
      </c>
      <c r="L230" s="520">
        <f t="shared" si="81"/>
        <v>25</v>
      </c>
      <c r="M230" s="520">
        <f t="shared" si="82"/>
        <v>130.84451446136393</v>
      </c>
    </row>
    <row r="231" spans="1:27" ht="31.5">
      <c r="A231" s="427"/>
      <c r="B231" s="613" t="s">
        <v>747</v>
      </c>
      <c r="C231" s="611"/>
      <c r="D231" s="611"/>
      <c r="E231" s="611"/>
      <c r="F231" s="611"/>
      <c r="G231" s="611"/>
      <c r="H231" s="610"/>
      <c r="I231" s="614">
        <f>219841000+9230231</f>
        <v>229071231</v>
      </c>
      <c r="J231" s="474">
        <f t="shared" ref="J231:J232" si="108">I231/4</f>
        <v>57267807.75</v>
      </c>
      <c r="K231" s="565"/>
      <c r="L231" s="520"/>
      <c r="M231" s="520"/>
    </row>
    <row r="232" spans="1:27" ht="18.75">
      <c r="A232" s="427"/>
      <c r="B232" s="438" t="s">
        <v>10</v>
      </c>
      <c r="C232" s="522"/>
      <c r="D232" s="522"/>
      <c r="E232" s="522"/>
      <c r="F232" s="522"/>
      <c r="G232" s="522"/>
      <c r="H232" s="523"/>
      <c r="I232" s="489">
        <v>343000000</v>
      </c>
      <c r="J232" s="474">
        <f t="shared" si="108"/>
        <v>85750000</v>
      </c>
      <c r="K232" s="565">
        <v>68220911</v>
      </c>
      <c r="L232" s="520">
        <f t="shared" si="81"/>
        <v>25</v>
      </c>
      <c r="M232" s="520">
        <f t="shared" si="82"/>
        <v>125.69459824422455</v>
      </c>
    </row>
    <row r="233" spans="1:27" ht="37.5">
      <c r="A233" s="427"/>
      <c r="B233" s="438" t="s">
        <v>87</v>
      </c>
      <c r="C233" s="403"/>
      <c r="D233" s="403"/>
      <c r="E233" s="403"/>
      <c r="F233" s="403"/>
      <c r="G233" s="403"/>
      <c r="H233" s="519"/>
      <c r="I233" s="491">
        <v>0</v>
      </c>
      <c r="J233" s="474"/>
      <c r="K233" s="565">
        <v>10919400</v>
      </c>
      <c r="L233" s="521" t="e">
        <f t="shared" si="81"/>
        <v>#DIV/0!</v>
      </c>
      <c r="M233" s="521">
        <f t="shared" si="82"/>
        <v>0</v>
      </c>
    </row>
    <row r="234" spans="1:27" ht="19.5" thickBot="1">
      <c r="A234" s="427" t="s">
        <v>15</v>
      </c>
      <c r="B234" s="439" t="s">
        <v>69</v>
      </c>
      <c r="C234" s="403"/>
      <c r="D234" s="403"/>
      <c r="E234" s="403"/>
      <c r="F234" s="403"/>
      <c r="G234" s="403"/>
      <c r="H234" s="519"/>
      <c r="I234" s="472">
        <f>SUM(I235:I236)</f>
        <v>0</v>
      </c>
      <c r="J234" s="472">
        <f t="shared" ref="J234:K234" si="109">SUM(J235:J236)</f>
        <v>0</v>
      </c>
      <c r="K234" s="472">
        <f t="shared" si="109"/>
        <v>120919769</v>
      </c>
      <c r="L234" s="521" t="e">
        <f t="shared" si="81"/>
        <v>#DIV/0!</v>
      </c>
      <c r="M234" s="521">
        <f t="shared" si="82"/>
        <v>0</v>
      </c>
    </row>
    <row r="235" spans="1:27" ht="38.25" thickBot="1">
      <c r="A235" s="427"/>
      <c r="B235" s="437" t="s">
        <v>516</v>
      </c>
      <c r="C235" s="123">
        <v>1029500</v>
      </c>
      <c r="D235" s="123">
        <v>412</v>
      </c>
      <c r="E235" s="123">
        <v>281</v>
      </c>
      <c r="F235" s="123">
        <v>14</v>
      </c>
      <c r="G235" s="123"/>
      <c r="H235" s="269">
        <v>200</v>
      </c>
      <c r="I235" s="594">
        <f>292230231-283000000-9230231</f>
        <v>0</v>
      </c>
      <c r="J235" s="592"/>
      <c r="K235" s="565">
        <v>39000000</v>
      </c>
      <c r="L235" s="521" t="e">
        <f t="shared" si="81"/>
        <v>#DIV/0!</v>
      </c>
      <c r="M235" s="521">
        <f t="shared" si="82"/>
        <v>0</v>
      </c>
    </row>
    <row r="236" spans="1:27" ht="33">
      <c r="A236" s="427"/>
      <c r="B236" s="156" t="s">
        <v>774</v>
      </c>
      <c r="C236" s="649"/>
      <c r="D236" s="649"/>
      <c r="E236" s="649"/>
      <c r="F236" s="649"/>
      <c r="G236" s="649"/>
      <c r="H236" s="648"/>
      <c r="I236" s="594"/>
      <c r="J236" s="652"/>
      <c r="K236" s="565">
        <v>81919769</v>
      </c>
      <c r="L236" s="521"/>
      <c r="M236" s="521"/>
    </row>
    <row r="237" spans="1:27" ht="19.5">
      <c r="A237" s="434" t="s">
        <v>624</v>
      </c>
      <c r="B237" s="435" t="s">
        <v>461</v>
      </c>
      <c r="C237" s="522"/>
      <c r="D237" s="522"/>
      <c r="E237" s="522"/>
      <c r="F237" s="522" t="s">
        <v>339</v>
      </c>
      <c r="G237" s="522"/>
      <c r="H237" s="523">
        <v>200</v>
      </c>
      <c r="I237" s="487">
        <f t="shared" ref="I237:K237" si="110">SUM(I238:I245)</f>
        <v>1718687440</v>
      </c>
      <c r="J237" s="487">
        <f t="shared" si="110"/>
        <v>429671860</v>
      </c>
      <c r="K237" s="562">
        <f t="shared" si="110"/>
        <v>1246544058</v>
      </c>
      <c r="L237" s="520">
        <f t="shared" si="81"/>
        <v>25</v>
      </c>
      <c r="M237" s="520">
        <f t="shared" si="82"/>
        <v>34.469047222396689</v>
      </c>
    </row>
    <row r="238" spans="1:27" ht="18.75">
      <c r="A238" s="436" t="s">
        <v>14</v>
      </c>
      <c r="B238" s="423" t="s">
        <v>78</v>
      </c>
      <c r="C238" s="123">
        <v>1029500</v>
      </c>
      <c r="D238" s="123">
        <v>412</v>
      </c>
      <c r="E238" s="123">
        <v>281</v>
      </c>
      <c r="F238" s="123">
        <v>12</v>
      </c>
      <c r="G238" s="123"/>
      <c r="H238" s="269">
        <v>200</v>
      </c>
      <c r="I238" s="491">
        <v>471000000</v>
      </c>
      <c r="J238" s="474">
        <f t="shared" ref="J238:J243" si="111">I238/4</f>
        <v>117750000</v>
      </c>
      <c r="K238" s="565"/>
      <c r="L238" s="521">
        <f t="shared" si="81"/>
        <v>25</v>
      </c>
      <c r="M238" s="521" t="e">
        <f t="shared" si="82"/>
        <v>#DIV/0!</v>
      </c>
    </row>
    <row r="239" spans="1:27" ht="18.75">
      <c r="A239" s="436" t="s">
        <v>15</v>
      </c>
      <c r="B239" s="423" t="s">
        <v>79</v>
      </c>
      <c r="C239" s="522"/>
      <c r="D239" s="522"/>
      <c r="E239" s="522"/>
      <c r="F239" s="522"/>
      <c r="G239" s="522"/>
      <c r="H239" s="523"/>
      <c r="I239" s="476">
        <v>150000000</v>
      </c>
      <c r="J239" s="474">
        <f t="shared" si="111"/>
        <v>37500000</v>
      </c>
      <c r="K239" s="565">
        <v>55357789</v>
      </c>
      <c r="L239" s="520">
        <f t="shared" ref="L239:L311" si="112">+J239/I239*100</f>
        <v>25</v>
      </c>
      <c r="M239" s="520">
        <f t="shared" ref="M239:M311" si="113">+J239/K239*100</f>
        <v>67.741144791747374</v>
      </c>
    </row>
    <row r="240" spans="1:27" ht="37.5">
      <c r="A240" s="436" t="s">
        <v>24</v>
      </c>
      <c r="B240" s="423" t="s">
        <v>80</v>
      </c>
      <c r="C240" s="522"/>
      <c r="D240" s="522"/>
      <c r="E240" s="522"/>
      <c r="F240" s="522"/>
      <c r="G240" s="522"/>
      <c r="H240" s="523"/>
      <c r="I240" s="475">
        <v>120000000</v>
      </c>
      <c r="J240" s="474">
        <f t="shared" si="111"/>
        <v>30000000</v>
      </c>
      <c r="K240" s="565">
        <v>25000000</v>
      </c>
      <c r="L240" s="520">
        <f t="shared" si="112"/>
        <v>25</v>
      </c>
      <c r="M240" s="520">
        <f t="shared" si="113"/>
        <v>120</v>
      </c>
    </row>
    <row r="241" spans="1:29" ht="18.75">
      <c r="A241" s="436" t="s">
        <v>313</v>
      </c>
      <c r="B241" s="423" t="s">
        <v>81</v>
      </c>
      <c r="C241" s="522"/>
      <c r="D241" s="522"/>
      <c r="E241" s="522"/>
      <c r="F241" s="522"/>
      <c r="G241" s="522"/>
      <c r="H241" s="523"/>
      <c r="I241" s="475">
        <v>500000000</v>
      </c>
      <c r="J241" s="474">
        <f t="shared" si="111"/>
        <v>125000000</v>
      </c>
      <c r="K241" s="565">
        <v>28309669</v>
      </c>
      <c r="L241" s="520">
        <f t="shared" si="112"/>
        <v>25</v>
      </c>
      <c r="M241" s="520">
        <f t="shared" si="113"/>
        <v>441.54525437934302</v>
      </c>
    </row>
    <row r="242" spans="1:29" ht="18.75">
      <c r="A242" s="436" t="s">
        <v>314</v>
      </c>
      <c r="B242" s="423" t="s">
        <v>82</v>
      </c>
      <c r="C242" s="522"/>
      <c r="D242" s="522"/>
      <c r="E242" s="522"/>
      <c r="F242" s="522"/>
      <c r="G242" s="522"/>
      <c r="H242" s="523"/>
      <c r="I242" s="591">
        <f>427000000-49312560</f>
        <v>377687440</v>
      </c>
      <c r="J242" s="474">
        <f t="shared" si="111"/>
        <v>94421860</v>
      </c>
      <c r="K242" s="565"/>
      <c r="L242" s="521">
        <f t="shared" si="112"/>
        <v>25</v>
      </c>
      <c r="M242" s="521" t="e">
        <f t="shared" si="113"/>
        <v>#DIV/0!</v>
      </c>
    </row>
    <row r="243" spans="1:29" ht="18.75">
      <c r="A243" s="436" t="s">
        <v>315</v>
      </c>
      <c r="B243" s="423" t="s">
        <v>83</v>
      </c>
      <c r="C243" s="522"/>
      <c r="D243" s="522"/>
      <c r="E243" s="522"/>
      <c r="F243" s="522"/>
      <c r="G243" s="522"/>
      <c r="H243" s="523"/>
      <c r="I243" s="489">
        <v>100000000</v>
      </c>
      <c r="J243" s="474">
        <f t="shared" si="111"/>
        <v>25000000</v>
      </c>
      <c r="K243" s="565">
        <v>13500000</v>
      </c>
      <c r="L243" s="520">
        <f t="shared" si="112"/>
        <v>25</v>
      </c>
      <c r="M243" s="520">
        <f t="shared" si="113"/>
        <v>185.18518518518519</v>
      </c>
    </row>
    <row r="244" spans="1:29" ht="60" customHeight="1">
      <c r="A244" s="436" t="s">
        <v>316</v>
      </c>
      <c r="B244" s="423" t="s">
        <v>699</v>
      </c>
      <c r="C244" s="522"/>
      <c r="D244" s="522"/>
      <c r="E244" s="522"/>
      <c r="F244" s="522"/>
      <c r="G244" s="522"/>
      <c r="H244" s="523"/>
      <c r="I244" s="488"/>
      <c r="J244" s="474"/>
      <c r="K244" s="565">
        <v>1124376600</v>
      </c>
      <c r="L244" s="521" t="e">
        <f t="shared" si="112"/>
        <v>#DIV/0!</v>
      </c>
      <c r="M244" s="521">
        <f t="shared" si="113"/>
        <v>0</v>
      </c>
    </row>
    <row r="245" spans="1:29" ht="17.25" customHeight="1">
      <c r="A245" s="436" t="s">
        <v>317</v>
      </c>
      <c r="B245" s="423" t="s">
        <v>700</v>
      </c>
      <c r="C245" s="522"/>
      <c r="D245" s="522"/>
      <c r="E245" s="522"/>
      <c r="F245" s="522"/>
      <c r="G245" s="522"/>
      <c r="H245" s="523"/>
      <c r="I245" s="489"/>
      <c r="J245" s="474"/>
      <c r="K245" s="565"/>
      <c r="L245" s="521" t="e">
        <f t="shared" si="112"/>
        <v>#DIV/0!</v>
      </c>
      <c r="M245" s="521" t="e">
        <f t="shared" si="113"/>
        <v>#DIV/0!</v>
      </c>
    </row>
    <row r="246" spans="1:29" ht="18.75">
      <c r="A246" s="432" t="s">
        <v>101</v>
      </c>
      <c r="B246" s="433" t="s">
        <v>305</v>
      </c>
      <c r="C246" s="403"/>
      <c r="D246" s="403"/>
      <c r="E246" s="403"/>
      <c r="F246" s="403"/>
      <c r="G246" s="403"/>
      <c r="H246" s="519"/>
      <c r="I246" s="486">
        <f t="shared" ref="I246:K246" si="114">+I247+I272+I275+I301</f>
        <v>10246343269</v>
      </c>
      <c r="J246" s="486">
        <f t="shared" si="114"/>
        <v>3396948510</v>
      </c>
      <c r="K246" s="561">
        <f t="shared" si="114"/>
        <v>2690135770</v>
      </c>
      <c r="L246" s="520">
        <f t="shared" si="112"/>
        <v>33.152788471155013</v>
      </c>
      <c r="M246" s="520">
        <f t="shared" si="113"/>
        <v>126.27424042616258</v>
      </c>
      <c r="AA246" s="129">
        <v>10181343269</v>
      </c>
      <c r="AB246" s="129"/>
      <c r="AC246" s="129"/>
    </row>
    <row r="247" spans="1:29" ht="18.75">
      <c r="A247" s="427">
        <v>1</v>
      </c>
      <c r="B247" s="428" t="s">
        <v>6</v>
      </c>
      <c r="C247" s="522"/>
      <c r="D247" s="522"/>
      <c r="E247" s="522"/>
      <c r="F247" s="522"/>
      <c r="G247" s="522"/>
      <c r="H247" s="523"/>
      <c r="I247" s="472">
        <f t="shared" ref="I247:K247" si="115">I248+I258+I270</f>
        <v>2984127120</v>
      </c>
      <c r="J247" s="472">
        <f t="shared" si="115"/>
        <v>566928367</v>
      </c>
      <c r="K247" s="558">
        <f t="shared" si="115"/>
        <v>485571136</v>
      </c>
      <c r="L247" s="520">
        <f t="shared" si="112"/>
        <v>18.998130582319163</v>
      </c>
      <c r="M247" s="520">
        <f t="shared" si="113"/>
        <v>116.75495616774059</v>
      </c>
    </row>
    <row r="248" spans="1:29" s="141" customFormat="1" ht="19.5">
      <c r="A248" s="434" t="s">
        <v>8</v>
      </c>
      <c r="B248" s="435" t="s">
        <v>7</v>
      </c>
      <c r="C248" s="403"/>
      <c r="D248" s="403"/>
      <c r="E248" s="403"/>
      <c r="F248" s="403"/>
      <c r="G248" s="403"/>
      <c r="H248" s="519"/>
      <c r="I248" s="487">
        <f t="shared" ref="I248:K248" si="116">I249+I255</f>
        <v>2669727120</v>
      </c>
      <c r="J248" s="487">
        <f t="shared" si="116"/>
        <v>408545374</v>
      </c>
      <c r="K248" s="562">
        <f t="shared" si="116"/>
        <v>447044714</v>
      </c>
      <c r="L248" s="520">
        <f t="shared" si="112"/>
        <v>15.302888858543714</v>
      </c>
      <c r="M248" s="520">
        <f t="shared" si="113"/>
        <v>91.388033725861263</v>
      </c>
      <c r="R248" s="385"/>
      <c r="S248" s="385"/>
      <c r="AA248" s="274">
        <f>+AA246-I246</f>
        <v>-65000000</v>
      </c>
    </row>
    <row r="249" spans="1:29" s="141" customFormat="1" ht="18.75">
      <c r="A249" s="427" t="s">
        <v>14</v>
      </c>
      <c r="B249" s="420" t="s">
        <v>67</v>
      </c>
      <c r="C249" s="403"/>
      <c r="D249" s="403"/>
      <c r="E249" s="403"/>
      <c r="F249" s="403"/>
      <c r="G249" s="403"/>
      <c r="H249" s="519"/>
      <c r="I249" s="488">
        <f>I250+I254</f>
        <v>2669727120</v>
      </c>
      <c r="J249" s="488">
        <f t="shared" ref="J249:K249" si="117">J250+J254</f>
        <v>408545374</v>
      </c>
      <c r="K249" s="563">
        <f t="shared" si="117"/>
        <v>401705810</v>
      </c>
      <c r="L249" s="520">
        <f t="shared" si="112"/>
        <v>15.302888858543714</v>
      </c>
      <c r="M249" s="520">
        <f t="shared" si="113"/>
        <v>101.70263009140943</v>
      </c>
      <c r="R249" s="385"/>
      <c r="S249" s="385"/>
    </row>
    <row r="250" spans="1:29" s="141" customFormat="1" ht="18.75">
      <c r="A250" s="436" t="s">
        <v>96</v>
      </c>
      <c r="B250" s="437" t="s">
        <v>29</v>
      </c>
      <c r="C250" s="522"/>
      <c r="D250" s="522"/>
      <c r="E250" s="522"/>
      <c r="F250" s="522"/>
      <c r="G250" s="522"/>
      <c r="H250" s="523"/>
      <c r="I250" s="489">
        <f>I251+I253+I252</f>
        <v>2426727120</v>
      </c>
      <c r="J250" s="489">
        <f t="shared" ref="J250:K250" si="118">J251+J253</f>
        <v>350436154</v>
      </c>
      <c r="K250" s="564">
        <f t="shared" si="118"/>
        <v>392062795</v>
      </c>
      <c r="L250" s="520">
        <f t="shared" si="112"/>
        <v>14.440690554445199</v>
      </c>
      <c r="M250" s="520">
        <f t="shared" si="113"/>
        <v>89.382659734392803</v>
      </c>
      <c r="R250" s="385"/>
      <c r="S250" s="385"/>
    </row>
    <row r="251" spans="1:29" ht="18.75">
      <c r="A251" s="436"/>
      <c r="B251" s="438" t="s">
        <v>39</v>
      </c>
      <c r="C251" s="522"/>
      <c r="D251" s="522"/>
      <c r="E251" s="522"/>
      <c r="F251" s="522"/>
      <c r="G251" s="522"/>
      <c r="H251" s="523"/>
      <c r="I251" s="595">
        <f>1409000000+293000000</f>
        <v>1702000000</v>
      </c>
      <c r="J251" s="474">
        <v>323415860</v>
      </c>
      <c r="K251" s="175">
        <v>303868374</v>
      </c>
      <c r="L251" s="520">
        <f t="shared" si="112"/>
        <v>19.002106933019977</v>
      </c>
      <c r="M251" s="520">
        <f t="shared" si="113"/>
        <v>106.43287938875798</v>
      </c>
    </row>
    <row r="252" spans="1:29" ht="18.75">
      <c r="A252" s="436"/>
      <c r="B252" s="613" t="s">
        <v>748</v>
      </c>
      <c r="C252" s="522"/>
      <c r="D252" s="522"/>
      <c r="E252" s="522"/>
      <c r="F252" s="522"/>
      <c r="G252" s="522"/>
      <c r="H252" s="523"/>
      <c r="I252" s="595">
        <f>205584000+47143120</f>
        <v>252727120</v>
      </c>
      <c r="J252" s="474">
        <v>252727120</v>
      </c>
      <c r="K252" s="565"/>
      <c r="L252" s="520"/>
      <c r="M252" s="520"/>
    </row>
    <row r="253" spans="1:29" ht="18.75">
      <c r="A253" s="436"/>
      <c r="B253" s="438" t="s">
        <v>10</v>
      </c>
      <c r="C253" s="522"/>
      <c r="D253" s="522"/>
      <c r="E253" s="522"/>
      <c r="F253" s="522"/>
      <c r="G253" s="522"/>
      <c r="H253" s="523"/>
      <c r="I253" s="490">
        <v>472000000</v>
      </c>
      <c r="J253" s="474">
        <v>27020294</v>
      </c>
      <c r="K253" s="565">
        <v>88194421</v>
      </c>
      <c r="L253" s="520">
        <f t="shared" si="112"/>
        <v>5.7246385593220337</v>
      </c>
      <c r="M253" s="520">
        <f t="shared" si="113"/>
        <v>30.637191892217309</v>
      </c>
    </row>
    <row r="254" spans="1:29" ht="17.25" customHeight="1">
      <c r="A254" s="436" t="s">
        <v>98</v>
      </c>
      <c r="B254" s="437" t="s">
        <v>352</v>
      </c>
      <c r="C254" s="123">
        <v>1029500</v>
      </c>
      <c r="D254" s="123">
        <v>412</v>
      </c>
      <c r="E254" s="123">
        <v>250</v>
      </c>
      <c r="F254" s="123">
        <v>12</v>
      </c>
      <c r="G254" s="123"/>
      <c r="H254" s="269">
        <v>200</v>
      </c>
      <c r="I254" s="490">
        <v>243000000</v>
      </c>
      <c r="J254" s="474">
        <v>58109220</v>
      </c>
      <c r="K254" s="565">
        <v>9643015</v>
      </c>
      <c r="L254" s="520">
        <f t="shared" si="112"/>
        <v>23.913259259259259</v>
      </c>
      <c r="M254" s="520">
        <f t="shared" si="113"/>
        <v>602.60426847827159</v>
      </c>
    </row>
    <row r="255" spans="1:29" ht="17.25" customHeight="1">
      <c r="A255" s="427" t="s">
        <v>15</v>
      </c>
      <c r="B255" s="439" t="s">
        <v>69</v>
      </c>
      <c r="C255" s="123"/>
      <c r="D255" s="123"/>
      <c r="E255" s="123"/>
      <c r="F255" s="123"/>
      <c r="G255" s="123"/>
      <c r="H255" s="269"/>
      <c r="I255" s="472">
        <f t="shared" ref="I255:K255" si="119">I256</f>
        <v>0</v>
      </c>
      <c r="J255" s="472">
        <f t="shared" si="119"/>
        <v>0</v>
      </c>
      <c r="K255" s="558">
        <f t="shared" si="119"/>
        <v>45338904</v>
      </c>
      <c r="L255" s="521" t="e">
        <f t="shared" si="112"/>
        <v>#DIV/0!</v>
      </c>
      <c r="M255" s="521">
        <f t="shared" si="113"/>
        <v>0</v>
      </c>
    </row>
    <row r="256" spans="1:29" ht="17.25" customHeight="1">
      <c r="A256" s="427"/>
      <c r="B256" s="437" t="s">
        <v>517</v>
      </c>
      <c r="C256" s="522"/>
      <c r="D256" s="522"/>
      <c r="E256" s="522">
        <v>251</v>
      </c>
      <c r="F256" s="522">
        <v>12</v>
      </c>
      <c r="G256" s="522"/>
      <c r="H256" s="523">
        <v>200</v>
      </c>
      <c r="I256" s="600">
        <f>360143120-293000000-20000000-47143120</f>
        <v>0</v>
      </c>
      <c r="J256" s="474"/>
      <c r="K256" s="565">
        <v>45338904</v>
      </c>
      <c r="L256" s="521" t="e">
        <f t="shared" si="112"/>
        <v>#DIV/0!</v>
      </c>
      <c r="M256" s="521">
        <f t="shared" si="113"/>
        <v>0</v>
      </c>
    </row>
    <row r="257" spans="1:14" ht="45" customHeight="1">
      <c r="A257" s="427"/>
      <c r="B257" s="156" t="s">
        <v>774</v>
      </c>
      <c r="C257" s="522"/>
      <c r="D257" s="522"/>
      <c r="E257" s="522"/>
      <c r="F257" s="522"/>
      <c r="G257" s="522"/>
      <c r="H257" s="523"/>
      <c r="I257" s="600"/>
      <c r="J257" s="474"/>
      <c r="K257" s="565">
        <v>84097976</v>
      </c>
      <c r="L257" s="521"/>
      <c r="M257" s="521"/>
    </row>
    <row r="258" spans="1:14" ht="19.5">
      <c r="A258" s="434" t="s">
        <v>9</v>
      </c>
      <c r="B258" s="435" t="s">
        <v>461</v>
      </c>
      <c r="C258" s="532">
        <v>1030351</v>
      </c>
      <c r="D258" s="532">
        <v>412</v>
      </c>
      <c r="E258" s="532"/>
      <c r="F258" s="532"/>
      <c r="G258" s="532"/>
      <c r="H258" s="533"/>
      <c r="I258" s="487">
        <f>+I259+I260+I266+I267+I268+I269</f>
        <v>314400000</v>
      </c>
      <c r="J258" s="487">
        <f t="shared" ref="J258:K258" si="120">+J259+J260+J266+J267+J268+J269</f>
        <v>158382993</v>
      </c>
      <c r="K258" s="487">
        <f t="shared" si="120"/>
        <v>38526422</v>
      </c>
      <c r="L258" s="520">
        <f t="shared" si="112"/>
        <v>50.376270038167938</v>
      </c>
      <c r="M258" s="520">
        <f t="shared" si="113"/>
        <v>411.10226379184655</v>
      </c>
      <c r="N258" s="129">
        <f>+I258+360000000</f>
        <v>674400000</v>
      </c>
    </row>
    <row r="259" spans="1:14" ht="18.75">
      <c r="A259" s="436" t="s">
        <v>14</v>
      </c>
      <c r="B259" s="440" t="s">
        <v>36</v>
      </c>
      <c r="C259" s="123">
        <v>1030351</v>
      </c>
      <c r="D259" s="123">
        <v>412</v>
      </c>
      <c r="E259" s="123">
        <v>280</v>
      </c>
      <c r="F259" s="123"/>
      <c r="G259" s="123"/>
      <c r="H259" s="269"/>
      <c r="I259" s="490">
        <v>24000000</v>
      </c>
      <c r="J259" s="474">
        <v>13234000</v>
      </c>
      <c r="K259" s="565">
        <v>16600000</v>
      </c>
      <c r="L259" s="520">
        <f t="shared" si="112"/>
        <v>55.141666666666666</v>
      </c>
      <c r="M259" s="520">
        <f t="shared" si="113"/>
        <v>79.722891566265062</v>
      </c>
    </row>
    <row r="260" spans="1:14" ht="18.75">
      <c r="A260" s="436" t="s">
        <v>15</v>
      </c>
      <c r="B260" s="440" t="s">
        <v>446</v>
      </c>
      <c r="C260" s="123"/>
      <c r="D260" s="123"/>
      <c r="E260" s="123"/>
      <c r="F260" s="123"/>
      <c r="G260" s="123"/>
      <c r="H260" s="269"/>
      <c r="I260" s="489">
        <f t="shared" ref="I260:K260" si="121">SUM(I261:I265)</f>
        <v>270400000</v>
      </c>
      <c r="J260" s="489">
        <f t="shared" si="121"/>
        <v>125148993</v>
      </c>
      <c r="K260" s="564">
        <f t="shared" si="121"/>
        <v>21926422</v>
      </c>
      <c r="L260" s="520">
        <f t="shared" si="112"/>
        <v>46.282911612426034</v>
      </c>
      <c r="M260" s="520">
        <f t="shared" si="113"/>
        <v>570.76796661124195</v>
      </c>
    </row>
    <row r="261" spans="1:14" ht="18.75">
      <c r="A261" s="442"/>
      <c r="B261" s="452" t="s">
        <v>350</v>
      </c>
      <c r="C261" s="123">
        <v>1030351</v>
      </c>
      <c r="D261" s="123">
        <v>412</v>
      </c>
      <c r="E261" s="123">
        <v>281</v>
      </c>
      <c r="F261" s="123">
        <v>13</v>
      </c>
      <c r="G261" s="123"/>
      <c r="H261" s="269">
        <v>200</v>
      </c>
      <c r="I261" s="478">
        <v>10000000</v>
      </c>
      <c r="J261" s="478">
        <v>10000000</v>
      </c>
      <c r="K261" s="571">
        <v>10000000</v>
      </c>
      <c r="L261" s="521">
        <f t="shared" si="112"/>
        <v>100</v>
      </c>
      <c r="M261" s="521">
        <f t="shared" si="113"/>
        <v>100</v>
      </c>
    </row>
    <row r="262" spans="1:14" ht="18.75">
      <c r="A262" s="442"/>
      <c r="B262" s="452" t="s">
        <v>353</v>
      </c>
      <c r="C262" s="522"/>
      <c r="D262" s="522"/>
      <c r="E262" s="522"/>
      <c r="F262" s="522"/>
      <c r="G262" s="522"/>
      <c r="H262" s="523"/>
      <c r="I262" s="478">
        <v>77000000</v>
      </c>
      <c r="J262" s="478">
        <v>47094475</v>
      </c>
      <c r="K262" s="571">
        <v>2920984</v>
      </c>
      <c r="L262" s="520">
        <f t="shared" si="112"/>
        <v>61.161655844155845</v>
      </c>
      <c r="M262" s="521">
        <f t="shared" si="113"/>
        <v>1612.2811696332469</v>
      </c>
    </row>
    <row r="263" spans="1:14" ht="18.75">
      <c r="A263" s="442"/>
      <c r="B263" s="452" t="s">
        <v>47</v>
      </c>
      <c r="C263" s="403"/>
      <c r="D263" s="403"/>
      <c r="E263" s="403"/>
      <c r="F263" s="403"/>
      <c r="G263" s="403"/>
      <c r="H263" s="519"/>
      <c r="I263" s="620">
        <f>189000000-61300000</f>
        <v>127700000</v>
      </c>
      <c r="J263" s="478">
        <v>31822000</v>
      </c>
      <c r="K263" s="571">
        <v>9005438</v>
      </c>
      <c r="L263" s="520">
        <f t="shared" si="112"/>
        <v>24.919342208300705</v>
      </c>
      <c r="M263" s="520">
        <f t="shared" si="113"/>
        <v>353.36426723497516</v>
      </c>
    </row>
    <row r="264" spans="1:14" ht="37.5">
      <c r="A264" s="442"/>
      <c r="B264" s="452" t="s">
        <v>354</v>
      </c>
      <c r="C264" s="403"/>
      <c r="D264" s="403"/>
      <c r="E264" s="403"/>
      <c r="F264" s="403"/>
      <c r="G264" s="403"/>
      <c r="H264" s="519"/>
      <c r="I264" s="590">
        <f>99000000-66300000</f>
        <v>32700000</v>
      </c>
      <c r="J264" s="478">
        <v>27600000</v>
      </c>
      <c r="K264" s="571"/>
      <c r="L264" s="521">
        <f t="shared" si="112"/>
        <v>84.403669724770651</v>
      </c>
      <c r="M264" s="521" t="e">
        <f t="shared" si="113"/>
        <v>#DIV/0!</v>
      </c>
    </row>
    <row r="265" spans="1:14" ht="18.75">
      <c r="A265" s="442"/>
      <c r="B265" s="452" t="s">
        <v>351</v>
      </c>
      <c r="C265" s="522"/>
      <c r="D265" s="522"/>
      <c r="E265" s="522"/>
      <c r="F265" s="522"/>
      <c r="G265" s="522"/>
      <c r="H265" s="523"/>
      <c r="I265" s="491">
        <v>23000000</v>
      </c>
      <c r="J265" s="478">
        <v>8632518</v>
      </c>
      <c r="K265" s="571"/>
      <c r="L265" s="520">
        <f t="shared" si="112"/>
        <v>37.532686956521736</v>
      </c>
      <c r="M265" s="521" t="e">
        <f t="shared" si="113"/>
        <v>#DIV/0!</v>
      </c>
    </row>
    <row r="266" spans="1:14" ht="37.5">
      <c r="A266" s="434" t="s">
        <v>24</v>
      </c>
      <c r="B266" s="452" t="s">
        <v>701</v>
      </c>
      <c r="C266" s="123">
        <v>1030351</v>
      </c>
      <c r="D266" s="123">
        <v>412</v>
      </c>
      <c r="E266" s="123">
        <v>281</v>
      </c>
      <c r="F266" s="123">
        <v>14</v>
      </c>
      <c r="G266" s="123"/>
      <c r="H266" s="269">
        <v>200</v>
      </c>
      <c r="I266" s="488">
        <v>0</v>
      </c>
      <c r="J266" s="474"/>
      <c r="K266" s="565"/>
      <c r="L266" s="521" t="e">
        <f t="shared" si="112"/>
        <v>#DIV/0!</v>
      </c>
      <c r="M266" s="521" t="e">
        <f t="shared" si="113"/>
        <v>#DIV/0!</v>
      </c>
    </row>
    <row r="267" spans="1:14" ht="37.5">
      <c r="A267" s="434" t="s">
        <v>313</v>
      </c>
      <c r="B267" s="452" t="s">
        <v>702</v>
      </c>
      <c r="C267" s="522"/>
      <c r="D267" s="522"/>
      <c r="E267" s="522"/>
      <c r="F267" s="522" t="s">
        <v>339</v>
      </c>
      <c r="G267" s="522"/>
      <c r="H267" s="523">
        <v>200</v>
      </c>
      <c r="I267" s="489">
        <v>0</v>
      </c>
      <c r="J267" s="474"/>
      <c r="K267" s="565"/>
      <c r="L267" s="521" t="e">
        <f t="shared" si="112"/>
        <v>#DIV/0!</v>
      </c>
      <c r="M267" s="521" t="e">
        <f t="shared" si="113"/>
        <v>#DIV/0!</v>
      </c>
    </row>
    <row r="268" spans="1:14" ht="37.5">
      <c r="A268" s="434" t="s">
        <v>316</v>
      </c>
      <c r="B268" s="452" t="s">
        <v>703</v>
      </c>
      <c r="C268" s="123">
        <v>1030351</v>
      </c>
      <c r="D268" s="123">
        <v>412</v>
      </c>
      <c r="E268" s="123">
        <v>281</v>
      </c>
      <c r="F268" s="123">
        <v>12</v>
      </c>
      <c r="G268" s="123"/>
      <c r="H268" s="269">
        <v>200</v>
      </c>
      <c r="I268" s="478">
        <v>0</v>
      </c>
      <c r="J268" s="474"/>
      <c r="K268" s="565"/>
      <c r="L268" s="521" t="e">
        <f t="shared" si="112"/>
        <v>#DIV/0!</v>
      </c>
      <c r="M268" s="521" t="e">
        <f t="shared" si="113"/>
        <v>#DIV/0!</v>
      </c>
    </row>
    <row r="269" spans="1:14" ht="47.25">
      <c r="A269" s="434" t="s">
        <v>317</v>
      </c>
      <c r="B269" s="621" t="s">
        <v>745</v>
      </c>
      <c r="C269" s="611"/>
      <c r="D269" s="611"/>
      <c r="E269" s="611"/>
      <c r="F269" s="611"/>
      <c r="G269" s="611"/>
      <c r="H269" s="610"/>
      <c r="I269" s="622">
        <v>20000000</v>
      </c>
      <c r="J269" s="622">
        <v>20000000</v>
      </c>
      <c r="K269" s="565"/>
      <c r="L269" s="521"/>
      <c r="M269" s="521"/>
    </row>
    <row r="270" spans="1:14" ht="19.5">
      <c r="A270" s="434" t="s">
        <v>20</v>
      </c>
      <c r="B270" s="435" t="s">
        <v>70</v>
      </c>
      <c r="C270" s="523"/>
      <c r="D270" s="523"/>
      <c r="E270" s="523"/>
      <c r="F270" s="523"/>
      <c r="G270" s="523"/>
      <c r="H270" s="523"/>
      <c r="I270" s="472">
        <f t="shared" ref="I270:K270" si="122">+I271</f>
        <v>0</v>
      </c>
      <c r="J270" s="472">
        <f t="shared" si="122"/>
        <v>0</v>
      </c>
      <c r="K270" s="558">
        <f t="shared" si="122"/>
        <v>0</v>
      </c>
      <c r="L270" s="521" t="e">
        <f t="shared" si="112"/>
        <v>#DIV/0!</v>
      </c>
      <c r="M270" s="521" t="e">
        <f t="shared" si="113"/>
        <v>#DIV/0!</v>
      </c>
    </row>
    <row r="271" spans="1:14" ht="37.5">
      <c r="A271" s="434"/>
      <c r="B271" s="438" t="s">
        <v>88</v>
      </c>
      <c r="C271" s="523"/>
      <c r="D271" s="523"/>
      <c r="E271" s="523"/>
      <c r="F271" s="523"/>
      <c r="G271" s="523"/>
      <c r="H271" s="523"/>
      <c r="I271" s="474">
        <v>0</v>
      </c>
      <c r="J271" s="474"/>
      <c r="K271" s="565"/>
      <c r="L271" s="521" t="e">
        <f t="shared" si="112"/>
        <v>#DIV/0!</v>
      </c>
      <c r="M271" s="521" t="e">
        <f t="shared" si="113"/>
        <v>#DIV/0!</v>
      </c>
    </row>
    <row r="272" spans="1:14" ht="19.5">
      <c r="A272" s="434">
        <v>2</v>
      </c>
      <c r="B272" s="420" t="s">
        <v>537</v>
      </c>
      <c r="C272" s="523"/>
      <c r="D272" s="523"/>
      <c r="E272" s="523"/>
      <c r="F272" s="523"/>
      <c r="G272" s="523"/>
      <c r="H272" s="523"/>
      <c r="I272" s="477">
        <f t="shared" ref="I272:K272" si="123">I273+I274</f>
        <v>29400000</v>
      </c>
      <c r="J272" s="477">
        <f t="shared" si="123"/>
        <v>0</v>
      </c>
      <c r="K272" s="555">
        <f t="shared" si="123"/>
        <v>0</v>
      </c>
      <c r="L272" s="520">
        <f t="shared" si="112"/>
        <v>0</v>
      </c>
      <c r="M272" s="520" t="e">
        <f t="shared" si="113"/>
        <v>#DIV/0!</v>
      </c>
    </row>
    <row r="273" spans="1:27" ht="19.5">
      <c r="A273" s="434"/>
      <c r="B273" s="438" t="s">
        <v>546</v>
      </c>
      <c r="C273" s="522"/>
      <c r="D273" s="522"/>
      <c r="E273" s="522"/>
      <c r="F273" s="522"/>
      <c r="G273" s="522"/>
      <c r="H273" s="523"/>
      <c r="I273" s="474">
        <v>28000000</v>
      </c>
      <c r="J273" s="474"/>
      <c r="K273" s="565"/>
      <c r="L273" s="520">
        <f t="shared" si="112"/>
        <v>0</v>
      </c>
      <c r="M273" s="520" t="e">
        <f t="shared" si="113"/>
        <v>#DIV/0!</v>
      </c>
    </row>
    <row r="274" spans="1:27" ht="37.5">
      <c r="A274" s="442"/>
      <c r="B274" s="438" t="s">
        <v>541</v>
      </c>
      <c r="C274" s="522"/>
      <c r="D274" s="522"/>
      <c r="E274" s="522"/>
      <c r="F274" s="522"/>
      <c r="G274" s="522"/>
      <c r="H274" s="523"/>
      <c r="I274" s="489">
        <v>1400000</v>
      </c>
      <c r="J274" s="474"/>
      <c r="K274" s="565"/>
      <c r="L274" s="520">
        <f t="shared" si="112"/>
        <v>0</v>
      </c>
      <c r="M274" s="520" t="e">
        <f t="shared" si="113"/>
        <v>#DIV/0!</v>
      </c>
    </row>
    <row r="275" spans="1:27" ht="18.75">
      <c r="A275" s="427">
        <v>3</v>
      </c>
      <c r="B275" s="428" t="s">
        <v>34</v>
      </c>
      <c r="C275" s="522"/>
      <c r="D275" s="522"/>
      <c r="E275" s="522"/>
      <c r="F275" s="522"/>
      <c r="G275" s="522"/>
      <c r="H275" s="523"/>
      <c r="I275" s="472">
        <f t="shared" ref="I275:K275" si="124">I276+I285+I298</f>
        <v>7174666149</v>
      </c>
      <c r="J275" s="472">
        <f t="shared" si="124"/>
        <v>2779843439</v>
      </c>
      <c r="K275" s="558">
        <f t="shared" si="124"/>
        <v>2044107945</v>
      </c>
      <c r="L275" s="520">
        <f t="shared" si="112"/>
        <v>38.745265372207633</v>
      </c>
      <c r="M275" s="520">
        <f t="shared" si="113"/>
        <v>135.99298636843758</v>
      </c>
    </row>
    <row r="276" spans="1:27" ht="18.75">
      <c r="A276" s="427" t="s">
        <v>623</v>
      </c>
      <c r="B276" s="420" t="s">
        <v>7</v>
      </c>
      <c r="C276" s="522"/>
      <c r="D276" s="522"/>
      <c r="E276" s="522"/>
      <c r="F276" s="522"/>
      <c r="G276" s="522"/>
      <c r="H276" s="523"/>
      <c r="I276" s="488">
        <f t="shared" ref="I276:K276" si="125">I277+I282</f>
        <v>4664529149</v>
      </c>
      <c r="J276" s="488">
        <f t="shared" si="125"/>
        <v>1017981340</v>
      </c>
      <c r="K276" s="563">
        <f t="shared" si="125"/>
        <v>994371904</v>
      </c>
      <c r="L276" s="520">
        <f t="shared" si="112"/>
        <v>21.82388205716838</v>
      </c>
      <c r="M276" s="520">
        <f t="shared" si="113"/>
        <v>102.37430642449046</v>
      </c>
    </row>
    <row r="277" spans="1:27" ht="18.75">
      <c r="A277" s="427" t="s">
        <v>14</v>
      </c>
      <c r="B277" s="420" t="s">
        <v>67</v>
      </c>
      <c r="C277" s="522"/>
      <c r="D277" s="522"/>
      <c r="E277" s="522"/>
      <c r="F277" s="522"/>
      <c r="G277" s="522"/>
      <c r="H277" s="523"/>
      <c r="I277" s="488">
        <f t="shared" ref="I277:K277" si="126">I278</f>
        <v>4664529149</v>
      </c>
      <c r="J277" s="488">
        <f t="shared" si="126"/>
        <v>1017981340</v>
      </c>
      <c r="K277" s="563">
        <f t="shared" si="126"/>
        <v>831228869</v>
      </c>
      <c r="L277" s="520">
        <f t="shared" si="112"/>
        <v>21.82388205716838</v>
      </c>
      <c r="M277" s="520">
        <f t="shared" si="113"/>
        <v>122.46703380558357</v>
      </c>
    </row>
    <row r="278" spans="1:27" ht="18.75">
      <c r="A278" s="427"/>
      <c r="B278" s="437" t="s">
        <v>72</v>
      </c>
      <c r="C278" s="522"/>
      <c r="D278" s="522"/>
      <c r="E278" s="522"/>
      <c r="F278" s="522"/>
      <c r="G278" s="522"/>
      <c r="H278" s="523"/>
      <c r="I278" s="489">
        <f>I279+I281+I280</f>
        <v>4664529149</v>
      </c>
      <c r="J278" s="489">
        <f t="shared" ref="J278:K278" si="127">J279+J281+J280</f>
        <v>1017981340</v>
      </c>
      <c r="K278" s="489">
        <f t="shared" si="127"/>
        <v>831228869</v>
      </c>
      <c r="L278" s="520">
        <f t="shared" si="112"/>
        <v>21.82388205716838</v>
      </c>
      <c r="M278" s="520">
        <f t="shared" si="113"/>
        <v>122.46703380558357</v>
      </c>
    </row>
    <row r="279" spans="1:27" s="397" customFormat="1" ht="18.75">
      <c r="A279" s="427"/>
      <c r="B279" s="438" t="s">
        <v>40</v>
      </c>
      <c r="C279" s="538"/>
      <c r="D279" s="538"/>
      <c r="E279" s="538"/>
      <c r="F279" s="538"/>
      <c r="G279" s="538"/>
      <c r="H279" s="539"/>
      <c r="I279" s="598">
        <f>2830000000+589000000</f>
        <v>3419000000</v>
      </c>
      <c r="J279" s="474">
        <v>519072638</v>
      </c>
      <c r="K279" s="565">
        <v>582985242</v>
      </c>
      <c r="L279" s="520">
        <f t="shared" si="112"/>
        <v>15.182001696402455</v>
      </c>
      <c r="M279" s="520">
        <f t="shared" si="113"/>
        <v>89.03701167790453</v>
      </c>
      <c r="R279" s="398"/>
      <c r="S279" s="398"/>
      <c r="AA279" s="128"/>
    </row>
    <row r="280" spans="1:27" s="397" customFormat="1" ht="18.75">
      <c r="A280" s="427"/>
      <c r="B280" s="613" t="s">
        <v>749</v>
      </c>
      <c r="C280" s="538"/>
      <c r="D280" s="538"/>
      <c r="E280" s="538"/>
      <c r="F280" s="538"/>
      <c r="G280" s="538"/>
      <c r="H280" s="539"/>
      <c r="I280" s="598">
        <f>383022000+15507149</f>
        <v>398529149</v>
      </c>
      <c r="J280" s="474">
        <v>275529149</v>
      </c>
      <c r="K280" s="565"/>
      <c r="L280" s="520"/>
      <c r="M280" s="520"/>
      <c r="R280" s="398"/>
      <c r="S280" s="398"/>
      <c r="AA280" s="128"/>
    </row>
    <row r="281" spans="1:27" s="267" customFormat="1" ht="18.75">
      <c r="A281" s="427"/>
      <c r="B281" s="447" t="s">
        <v>10</v>
      </c>
      <c r="C281" s="522"/>
      <c r="D281" s="522"/>
      <c r="E281" s="522"/>
      <c r="F281" s="522"/>
      <c r="G281" s="522"/>
      <c r="H281" s="523"/>
      <c r="I281" s="495">
        <v>847000000</v>
      </c>
      <c r="J281" s="474">
        <v>223379553</v>
      </c>
      <c r="K281" s="565">
        <v>248243627</v>
      </c>
      <c r="L281" s="520">
        <f t="shared" si="112"/>
        <v>26.37302868949233</v>
      </c>
      <c r="M281" s="520">
        <f t="shared" si="113"/>
        <v>89.984003093863919</v>
      </c>
      <c r="R281" s="390"/>
      <c r="S281" s="390"/>
      <c r="AA281" s="128"/>
    </row>
    <row r="282" spans="1:27" s="267" customFormat="1" ht="18.75">
      <c r="A282" s="427" t="s">
        <v>15</v>
      </c>
      <c r="B282" s="439" t="s">
        <v>69</v>
      </c>
      <c r="C282" s="522"/>
      <c r="D282" s="522"/>
      <c r="E282" s="522"/>
      <c r="F282" s="522"/>
      <c r="G282" s="522"/>
      <c r="H282" s="523"/>
      <c r="I282" s="472">
        <f>SUM(I283:I284)</f>
        <v>0</v>
      </c>
      <c r="J282" s="472">
        <f t="shared" ref="J282:K282" si="128">SUM(J283:J284)</f>
        <v>0</v>
      </c>
      <c r="K282" s="472">
        <f t="shared" si="128"/>
        <v>163143035</v>
      </c>
      <c r="L282" s="521" t="e">
        <f t="shared" si="112"/>
        <v>#DIV/0!</v>
      </c>
      <c r="M282" s="521">
        <f t="shared" si="113"/>
        <v>0</v>
      </c>
      <c r="R282" s="390"/>
      <c r="S282" s="390"/>
      <c r="AA282" s="128"/>
    </row>
    <row r="283" spans="1:27" ht="37.5">
      <c r="A283" s="427"/>
      <c r="B283" s="437" t="s">
        <v>518</v>
      </c>
      <c r="C283" s="532">
        <v>1030702</v>
      </c>
      <c r="D283" s="532">
        <v>412</v>
      </c>
      <c r="E283" s="532"/>
      <c r="F283" s="532"/>
      <c r="G283" s="532"/>
      <c r="H283" s="533"/>
      <c r="I283" s="598">
        <f>604507149-589000000-15507149</f>
        <v>0</v>
      </c>
      <c r="J283" s="474"/>
      <c r="K283" s="175">
        <v>99000000</v>
      </c>
      <c r="L283" s="521" t="e">
        <f t="shared" si="112"/>
        <v>#DIV/0!</v>
      </c>
      <c r="M283" s="521">
        <f t="shared" si="113"/>
        <v>0</v>
      </c>
      <c r="N283" s="129">
        <f>+I283+I386</f>
        <v>700500000</v>
      </c>
    </row>
    <row r="284" spans="1:27" ht="33">
      <c r="A284" s="427"/>
      <c r="B284" s="156" t="s">
        <v>774</v>
      </c>
      <c r="C284" s="532"/>
      <c r="D284" s="532"/>
      <c r="E284" s="532"/>
      <c r="F284" s="532"/>
      <c r="G284" s="532"/>
      <c r="H284" s="533"/>
      <c r="I284" s="598"/>
      <c r="J284" s="474"/>
      <c r="K284" s="175">
        <f>163143035-99000000</f>
        <v>64143035</v>
      </c>
      <c r="L284" s="521"/>
      <c r="M284" s="521"/>
      <c r="N284" s="129"/>
    </row>
    <row r="285" spans="1:27" ht="18.75">
      <c r="A285" s="427" t="s">
        <v>624</v>
      </c>
      <c r="B285" s="420" t="s">
        <v>461</v>
      </c>
      <c r="C285" s="123">
        <v>1030702</v>
      </c>
      <c r="D285" s="123">
        <v>412</v>
      </c>
      <c r="E285" s="123">
        <v>280</v>
      </c>
      <c r="F285" s="123"/>
      <c r="G285" s="123"/>
      <c r="H285" s="269"/>
      <c r="I285" s="488">
        <f>SUM(I286:I297)</f>
        <v>2449137000</v>
      </c>
      <c r="J285" s="488">
        <f t="shared" ref="J285:K285" si="129">SUM(J286:J297)</f>
        <v>1707907135</v>
      </c>
      <c r="K285" s="563">
        <f t="shared" si="129"/>
        <v>966315041</v>
      </c>
      <c r="L285" s="520">
        <f t="shared" si="112"/>
        <v>69.735059124908076</v>
      </c>
      <c r="M285" s="520">
        <f t="shared" si="113"/>
        <v>176.74433932359747</v>
      </c>
    </row>
    <row r="286" spans="1:27" s="171" customFormat="1" ht="18.75">
      <c r="A286" s="436" t="s">
        <v>14</v>
      </c>
      <c r="B286" s="429" t="s">
        <v>42</v>
      </c>
      <c r="C286" s="542"/>
      <c r="D286" s="542"/>
      <c r="E286" s="542"/>
      <c r="F286" s="542"/>
      <c r="G286" s="542"/>
      <c r="H286" s="543"/>
      <c r="I286" s="596">
        <f>551000000+53600000</f>
        <v>604600000</v>
      </c>
      <c r="J286" s="474">
        <v>339597300</v>
      </c>
      <c r="K286" s="565">
        <v>265680000</v>
      </c>
      <c r="L286" s="520">
        <f t="shared" si="112"/>
        <v>56.16892160105855</v>
      </c>
      <c r="M286" s="520">
        <f t="shared" si="113"/>
        <v>127.82192863595303</v>
      </c>
      <c r="R286" s="391"/>
      <c r="S286" s="391"/>
      <c r="AA286" s="128"/>
    </row>
    <row r="287" spans="1:27" s="141" customFormat="1" ht="37.5">
      <c r="A287" s="436" t="s">
        <v>15</v>
      </c>
      <c r="B287" s="429" t="s">
        <v>356</v>
      </c>
      <c r="C287" s="123">
        <v>1030702</v>
      </c>
      <c r="D287" s="123">
        <v>412</v>
      </c>
      <c r="E287" s="123">
        <v>282</v>
      </c>
      <c r="F287" s="123">
        <v>13</v>
      </c>
      <c r="G287" s="123"/>
      <c r="H287" s="269">
        <v>200</v>
      </c>
      <c r="I287" s="596">
        <f>100000000-13000000</f>
        <v>87000000</v>
      </c>
      <c r="J287" s="474">
        <v>4930000</v>
      </c>
      <c r="K287" s="565"/>
      <c r="L287" s="520">
        <f t="shared" si="112"/>
        <v>5.6666666666666661</v>
      </c>
      <c r="M287" s="521" t="e">
        <f t="shared" si="113"/>
        <v>#DIV/0!</v>
      </c>
      <c r="R287" s="385"/>
      <c r="S287" s="385"/>
      <c r="AA287" s="128"/>
    </row>
    <row r="288" spans="1:27" ht="18.75">
      <c r="A288" s="436" t="s">
        <v>24</v>
      </c>
      <c r="B288" s="429" t="s">
        <v>445</v>
      </c>
      <c r="C288" s="522"/>
      <c r="D288" s="522"/>
      <c r="E288" s="522"/>
      <c r="F288" s="522"/>
      <c r="G288" s="522"/>
      <c r="H288" s="523"/>
      <c r="I288" s="596">
        <f>83000000-22000000</f>
        <v>61000000</v>
      </c>
      <c r="J288" s="474">
        <v>18905000</v>
      </c>
      <c r="K288" s="565">
        <v>19050000</v>
      </c>
      <c r="L288" s="520">
        <f t="shared" si="112"/>
        <v>30.991803278688522</v>
      </c>
      <c r="M288" s="521">
        <f t="shared" si="113"/>
        <v>99.238845144356958</v>
      </c>
    </row>
    <row r="289" spans="1:29" ht="56.25">
      <c r="A289" s="436" t="s">
        <v>313</v>
      </c>
      <c r="B289" s="429" t="s">
        <v>535</v>
      </c>
      <c r="C289" s="403"/>
      <c r="D289" s="403"/>
      <c r="E289" s="403"/>
      <c r="F289" s="403"/>
      <c r="G289" s="403"/>
      <c r="H289" s="519"/>
      <c r="I289" s="474">
        <v>1036000000</v>
      </c>
      <c r="J289" s="474">
        <v>802300000</v>
      </c>
      <c r="K289" s="565">
        <v>480000000</v>
      </c>
      <c r="L289" s="520">
        <f t="shared" si="112"/>
        <v>77.442084942084946</v>
      </c>
      <c r="M289" s="520">
        <f t="shared" si="113"/>
        <v>167.14583333333331</v>
      </c>
    </row>
    <row r="290" spans="1:29" ht="37.5">
      <c r="A290" s="436" t="s">
        <v>314</v>
      </c>
      <c r="B290" s="429" t="s">
        <v>355</v>
      </c>
      <c r="C290" s="403"/>
      <c r="D290" s="403"/>
      <c r="E290" s="403"/>
      <c r="F290" s="403"/>
      <c r="G290" s="403"/>
      <c r="H290" s="519"/>
      <c r="I290" s="489">
        <v>19000000</v>
      </c>
      <c r="J290" s="474">
        <v>9000000</v>
      </c>
      <c r="K290" s="565"/>
      <c r="L290" s="521">
        <f t="shared" si="112"/>
        <v>47.368421052631575</v>
      </c>
      <c r="M290" s="521" t="e">
        <f t="shared" si="113"/>
        <v>#DIV/0!</v>
      </c>
      <c r="N290" s="507"/>
    </row>
    <row r="291" spans="1:29" ht="18.75">
      <c r="A291" s="436" t="s">
        <v>315</v>
      </c>
      <c r="B291" s="429" t="s">
        <v>44</v>
      </c>
      <c r="C291" s="522"/>
      <c r="D291" s="522"/>
      <c r="E291" s="522"/>
      <c r="F291" s="522"/>
      <c r="G291" s="522"/>
      <c r="H291" s="523"/>
      <c r="I291" s="595">
        <f>180000000-175000000-5000000*0</f>
        <v>5000000</v>
      </c>
      <c r="J291" s="474"/>
      <c r="K291" s="565"/>
      <c r="L291" s="521">
        <f t="shared" si="112"/>
        <v>0</v>
      </c>
      <c r="M291" s="521" t="e">
        <f t="shared" si="113"/>
        <v>#DIV/0!</v>
      </c>
    </row>
    <row r="292" spans="1:29" ht="33">
      <c r="A292" s="436" t="s">
        <v>316</v>
      </c>
      <c r="B292" s="588" t="s">
        <v>740</v>
      </c>
      <c r="C292" s="522"/>
      <c r="D292" s="522"/>
      <c r="E292" s="522"/>
      <c r="F292" s="522"/>
      <c r="G292" s="522"/>
      <c r="H292" s="523"/>
      <c r="I292" s="489">
        <v>245915000</v>
      </c>
      <c r="J292" s="474">
        <v>245915000</v>
      </c>
      <c r="K292" s="565"/>
      <c r="L292" s="520"/>
      <c r="M292" s="520"/>
    </row>
    <row r="293" spans="1:29" ht="33">
      <c r="A293" s="436" t="s">
        <v>317</v>
      </c>
      <c r="B293" s="588" t="s">
        <v>741</v>
      </c>
      <c r="C293" s="522"/>
      <c r="D293" s="522"/>
      <c r="E293" s="522"/>
      <c r="F293" s="522"/>
      <c r="G293" s="522"/>
      <c r="H293" s="523"/>
      <c r="I293" s="489">
        <v>202622000</v>
      </c>
      <c r="J293" s="474">
        <v>202621835</v>
      </c>
      <c r="K293" s="565"/>
      <c r="L293" s="520"/>
      <c r="M293" s="520"/>
    </row>
    <row r="294" spans="1:29" s="141" customFormat="1" ht="18.75">
      <c r="A294" s="436" t="s">
        <v>318</v>
      </c>
      <c r="B294" s="429" t="s">
        <v>704</v>
      </c>
      <c r="C294" s="123">
        <v>1030702</v>
      </c>
      <c r="D294" s="123">
        <v>412</v>
      </c>
      <c r="E294" s="123">
        <v>282</v>
      </c>
      <c r="F294" s="123">
        <v>14</v>
      </c>
      <c r="G294" s="123"/>
      <c r="H294" s="269">
        <v>200</v>
      </c>
      <c r="I294" s="489">
        <v>69000000</v>
      </c>
      <c r="J294" s="474">
        <v>32638000</v>
      </c>
      <c r="K294" s="565">
        <v>57800000</v>
      </c>
      <c r="L294" s="521">
        <f t="shared" si="112"/>
        <v>47.301449275362316</v>
      </c>
      <c r="M294" s="521">
        <f t="shared" si="113"/>
        <v>56.467128027681653</v>
      </c>
      <c r="R294" s="385"/>
      <c r="S294" s="385"/>
      <c r="AA294" s="128"/>
    </row>
    <row r="295" spans="1:29" ht="18.75">
      <c r="A295" s="436" t="s">
        <v>319</v>
      </c>
      <c r="B295" s="429" t="s">
        <v>705</v>
      </c>
      <c r="C295" s="522"/>
      <c r="D295" s="522"/>
      <c r="E295" s="522"/>
      <c r="F295" s="522" t="s">
        <v>339</v>
      </c>
      <c r="G295" s="522"/>
      <c r="H295" s="523">
        <v>200</v>
      </c>
      <c r="I295" s="478">
        <v>65000000</v>
      </c>
      <c r="J295" s="474">
        <v>40000000</v>
      </c>
      <c r="K295" s="565">
        <v>43070000</v>
      </c>
      <c r="L295" s="521">
        <f t="shared" si="112"/>
        <v>61.53846153846154</v>
      </c>
      <c r="M295" s="521">
        <f t="shared" si="113"/>
        <v>92.872068725330863</v>
      </c>
    </row>
    <row r="296" spans="1:29" ht="18.75">
      <c r="A296" s="405" t="s">
        <v>320</v>
      </c>
      <c r="B296" s="429" t="s">
        <v>706</v>
      </c>
      <c r="C296" s="123">
        <v>1030702</v>
      </c>
      <c r="D296" s="123">
        <v>412</v>
      </c>
      <c r="E296" s="123">
        <v>282</v>
      </c>
      <c r="F296" s="123">
        <v>12</v>
      </c>
      <c r="G296" s="123"/>
      <c r="H296" s="269">
        <v>200</v>
      </c>
      <c r="I296" s="478">
        <v>54000000</v>
      </c>
      <c r="J296" s="474">
        <v>12000000</v>
      </c>
      <c r="K296" s="565">
        <v>40003041</v>
      </c>
      <c r="L296" s="521">
        <f t="shared" si="112"/>
        <v>22.222222222222221</v>
      </c>
      <c r="M296" s="521">
        <f t="shared" si="113"/>
        <v>29.997719423380836</v>
      </c>
    </row>
    <row r="297" spans="1:29" ht="37.5">
      <c r="A297" s="405" t="s">
        <v>312</v>
      </c>
      <c r="B297" s="429" t="s">
        <v>707</v>
      </c>
      <c r="C297" s="523"/>
      <c r="D297" s="523"/>
      <c r="E297" s="523"/>
      <c r="F297" s="523"/>
      <c r="G297" s="523"/>
      <c r="H297" s="523"/>
      <c r="I297" s="472">
        <v>0</v>
      </c>
      <c r="J297" s="474"/>
      <c r="K297" s="565">
        <v>60712000</v>
      </c>
      <c r="L297" s="521" t="e">
        <f t="shared" si="112"/>
        <v>#DIV/0!</v>
      </c>
      <c r="M297" s="521">
        <f t="shared" si="113"/>
        <v>0</v>
      </c>
    </row>
    <row r="298" spans="1:29" ht="18.75">
      <c r="A298" s="427" t="s">
        <v>708</v>
      </c>
      <c r="B298" s="453" t="s">
        <v>687</v>
      </c>
      <c r="C298" s="523"/>
      <c r="D298" s="523"/>
      <c r="E298" s="523"/>
      <c r="F298" s="523"/>
      <c r="G298" s="523"/>
      <c r="H298" s="523"/>
      <c r="I298" s="472">
        <f>+I299+I300</f>
        <v>61000000</v>
      </c>
      <c r="J298" s="472">
        <f t="shared" ref="J298:K298" si="130">+J299+J300</f>
        <v>53954964</v>
      </c>
      <c r="K298" s="472">
        <f t="shared" si="130"/>
        <v>83421000</v>
      </c>
      <c r="L298" s="521">
        <f t="shared" si="112"/>
        <v>88.45076065573771</v>
      </c>
      <c r="M298" s="521">
        <f t="shared" si="113"/>
        <v>64.677915632754349</v>
      </c>
    </row>
    <row r="299" spans="1:29" ht="37.5">
      <c r="A299" s="436"/>
      <c r="B299" s="429" t="s">
        <v>709</v>
      </c>
      <c r="C299" s="523"/>
      <c r="D299" s="523"/>
      <c r="E299" s="523"/>
      <c r="F299" s="523"/>
      <c r="G299" s="523"/>
      <c r="H299" s="523"/>
      <c r="I299" s="488">
        <v>0</v>
      </c>
      <c r="J299" s="474"/>
      <c r="K299" s="565">
        <v>83421000</v>
      </c>
      <c r="L299" s="521" t="e">
        <f t="shared" si="112"/>
        <v>#DIV/0!</v>
      </c>
      <c r="M299" s="521">
        <f t="shared" si="113"/>
        <v>0</v>
      </c>
    </row>
    <row r="300" spans="1:29" ht="33">
      <c r="A300" s="436"/>
      <c r="B300" s="618" t="s">
        <v>750</v>
      </c>
      <c r="C300" s="523"/>
      <c r="D300" s="523"/>
      <c r="E300" s="523"/>
      <c r="F300" s="523"/>
      <c r="G300" s="523"/>
      <c r="H300" s="523"/>
      <c r="I300" s="623">
        <v>61000000</v>
      </c>
      <c r="J300" s="623">
        <v>53954964</v>
      </c>
      <c r="K300" s="565"/>
      <c r="L300" s="521"/>
      <c r="M300" s="521"/>
    </row>
    <row r="301" spans="1:29" s="141" customFormat="1" ht="18.75">
      <c r="A301" s="427">
        <v>4</v>
      </c>
      <c r="B301" s="428" t="s">
        <v>519</v>
      </c>
      <c r="C301" s="519"/>
      <c r="D301" s="519"/>
      <c r="E301" s="519"/>
      <c r="F301" s="519"/>
      <c r="G301" s="519"/>
      <c r="H301" s="519"/>
      <c r="I301" s="472">
        <f t="shared" ref="I301:K302" si="131">+I302</f>
        <v>58150000</v>
      </c>
      <c r="J301" s="472">
        <f t="shared" si="131"/>
        <v>50176704</v>
      </c>
      <c r="K301" s="558">
        <f t="shared" si="131"/>
        <v>160456689</v>
      </c>
      <c r="L301" s="521">
        <f t="shared" si="112"/>
        <v>86.288398968185732</v>
      </c>
      <c r="M301" s="521">
        <f t="shared" si="113"/>
        <v>31.271182468435455</v>
      </c>
      <c r="R301" s="385"/>
      <c r="S301" s="385"/>
      <c r="AA301" s="128"/>
    </row>
    <row r="302" spans="1:29" s="141" customFormat="1" ht="18.75">
      <c r="A302" s="427"/>
      <c r="B302" s="428" t="s">
        <v>514</v>
      </c>
      <c r="C302" s="519"/>
      <c r="D302" s="519"/>
      <c r="E302" s="519"/>
      <c r="F302" s="519"/>
      <c r="G302" s="519"/>
      <c r="H302" s="519"/>
      <c r="I302" s="472">
        <f t="shared" si="131"/>
        <v>58150000</v>
      </c>
      <c r="J302" s="472">
        <f t="shared" si="131"/>
        <v>50176704</v>
      </c>
      <c r="K302" s="558">
        <f t="shared" si="131"/>
        <v>160456689</v>
      </c>
      <c r="L302" s="521">
        <f t="shared" si="112"/>
        <v>86.288398968185732</v>
      </c>
      <c r="M302" s="521">
        <f t="shared" si="113"/>
        <v>31.271182468435455</v>
      </c>
      <c r="R302" s="385"/>
      <c r="S302" s="385"/>
      <c r="AA302" s="128"/>
    </row>
    <row r="303" spans="1:29" s="141" customFormat="1" ht="18.75">
      <c r="A303" s="427"/>
      <c r="B303" s="437" t="s">
        <v>45</v>
      </c>
      <c r="C303" s="519"/>
      <c r="D303" s="519"/>
      <c r="E303" s="519"/>
      <c r="F303" s="519"/>
      <c r="G303" s="519"/>
      <c r="H303" s="519"/>
      <c r="I303" s="595">
        <f>100000000-41850000</f>
        <v>58150000</v>
      </c>
      <c r="J303" s="595">
        <v>50176704</v>
      </c>
      <c r="K303" s="565">
        <v>160456689</v>
      </c>
      <c r="L303" s="521">
        <f t="shared" si="112"/>
        <v>86.288398968185732</v>
      </c>
      <c r="M303" s="521">
        <f t="shared" si="113"/>
        <v>31.271182468435455</v>
      </c>
      <c r="R303" s="385"/>
      <c r="S303" s="385"/>
      <c r="AA303" s="128"/>
    </row>
    <row r="304" spans="1:29" s="379" customFormat="1" ht="18.75">
      <c r="A304" s="432" t="s">
        <v>102</v>
      </c>
      <c r="B304" s="433" t="s">
        <v>306</v>
      </c>
      <c r="C304" s="269"/>
      <c r="D304" s="269"/>
      <c r="E304" s="269"/>
      <c r="F304" s="269"/>
      <c r="G304" s="269"/>
      <c r="H304" s="269"/>
      <c r="I304" s="486">
        <f>+I305+I328+I332+I363</f>
        <v>26187288800</v>
      </c>
      <c r="J304" s="486">
        <f>+J305+J328+J332+J363</f>
        <v>9697926937</v>
      </c>
      <c r="K304" s="561">
        <f>+K305+K328+K332+K363</f>
        <v>9446714993</v>
      </c>
      <c r="L304" s="520">
        <f t="shared" si="112"/>
        <v>37.032955229026996</v>
      </c>
      <c r="M304" s="520">
        <f t="shared" si="113"/>
        <v>102.65925185830362</v>
      </c>
      <c r="R304" s="393"/>
      <c r="S304" s="393"/>
      <c r="AA304" s="232">
        <v>26163288800</v>
      </c>
      <c r="AB304" s="232"/>
      <c r="AC304" s="232"/>
    </row>
    <row r="305" spans="1:27" s="268" customFormat="1" ht="18.75">
      <c r="A305" s="427">
        <v>1</v>
      </c>
      <c r="B305" s="428" t="s">
        <v>6</v>
      </c>
      <c r="C305" s="519"/>
      <c r="D305" s="519"/>
      <c r="E305" s="519"/>
      <c r="F305" s="519"/>
      <c r="G305" s="519"/>
      <c r="H305" s="519"/>
      <c r="I305" s="472">
        <f>I306+I316+I326</f>
        <v>7095887800</v>
      </c>
      <c r="J305" s="472">
        <f t="shared" ref="J305:K305" si="132">J306+J316+J326</f>
        <v>2023224440</v>
      </c>
      <c r="K305" s="472">
        <f t="shared" si="132"/>
        <v>1795588934</v>
      </c>
      <c r="L305" s="520">
        <f t="shared" si="112"/>
        <v>28.512632908316277</v>
      </c>
      <c r="M305" s="520">
        <f t="shared" si="113"/>
        <v>112.67748434453206</v>
      </c>
      <c r="R305" s="389"/>
      <c r="S305" s="389"/>
    </row>
    <row r="306" spans="1:27" s="268" customFormat="1" ht="18.75">
      <c r="A306" s="427" t="s">
        <v>8</v>
      </c>
      <c r="B306" s="420" t="s">
        <v>7</v>
      </c>
      <c r="C306" s="519"/>
      <c r="D306" s="519"/>
      <c r="E306" s="519"/>
      <c r="F306" s="519"/>
      <c r="G306" s="519"/>
      <c r="H306" s="519"/>
      <c r="I306" s="488">
        <f t="shared" ref="I306:K306" si="133">I307+I313</f>
        <v>3125687800</v>
      </c>
      <c r="J306" s="488">
        <f t="shared" si="133"/>
        <v>1007052380</v>
      </c>
      <c r="K306" s="563">
        <f t="shared" si="133"/>
        <v>678158526</v>
      </c>
      <c r="L306" s="520">
        <f t="shared" si="112"/>
        <v>32.218584978320614</v>
      </c>
      <c r="M306" s="520">
        <f t="shared" si="113"/>
        <v>148.49807845665867</v>
      </c>
      <c r="R306" s="389"/>
      <c r="S306" s="389"/>
      <c r="AA306" s="227">
        <f>+AA304-I304</f>
        <v>-24000000</v>
      </c>
    </row>
    <row r="307" spans="1:27" ht="18.75">
      <c r="A307" s="427" t="s">
        <v>14</v>
      </c>
      <c r="B307" s="420" t="s">
        <v>67</v>
      </c>
      <c r="C307" s="532">
        <v>1110440</v>
      </c>
      <c r="D307" s="532">
        <v>412</v>
      </c>
      <c r="E307" s="532"/>
      <c r="F307" s="532"/>
      <c r="G307" s="532"/>
      <c r="H307" s="533"/>
      <c r="I307" s="488">
        <f>+I308+I312</f>
        <v>3125687800</v>
      </c>
      <c r="J307" s="488">
        <f t="shared" ref="J307:K307" si="134">+J308+J312</f>
        <v>1007052380</v>
      </c>
      <c r="K307" s="563">
        <f t="shared" si="134"/>
        <v>549827326</v>
      </c>
      <c r="L307" s="520">
        <f t="shared" si="112"/>
        <v>32.218584978320614</v>
      </c>
      <c r="M307" s="520">
        <f t="shared" si="113"/>
        <v>183.15793566069505</v>
      </c>
      <c r="N307" s="129">
        <f>+I307+I381</f>
        <v>3185687800</v>
      </c>
    </row>
    <row r="308" spans="1:27" ht="18.75">
      <c r="A308" s="436" t="s">
        <v>96</v>
      </c>
      <c r="B308" s="437" t="s">
        <v>46</v>
      </c>
      <c r="C308" s="123">
        <v>1110440</v>
      </c>
      <c r="D308" s="123">
        <v>412</v>
      </c>
      <c r="E308" s="123">
        <v>280</v>
      </c>
      <c r="F308" s="123"/>
      <c r="G308" s="123"/>
      <c r="H308" s="269"/>
      <c r="I308" s="489">
        <f>I309+I311+I310</f>
        <v>2906687800</v>
      </c>
      <c r="J308" s="489">
        <f t="shared" ref="J308:K308" si="135">J309+J311+J310</f>
        <v>929359845</v>
      </c>
      <c r="K308" s="489">
        <f t="shared" si="135"/>
        <v>503914966</v>
      </c>
      <c r="L308" s="520">
        <f t="shared" si="112"/>
        <v>31.973156697461626</v>
      </c>
      <c r="M308" s="520">
        <f t="shared" si="113"/>
        <v>184.42791099798376</v>
      </c>
    </row>
    <row r="309" spans="1:27" ht="18.75">
      <c r="A309" s="436"/>
      <c r="B309" s="438" t="s">
        <v>35</v>
      </c>
      <c r="C309" s="123"/>
      <c r="D309" s="123"/>
      <c r="E309" s="123"/>
      <c r="F309" s="123"/>
      <c r="G309" s="123"/>
      <c r="H309" s="269"/>
      <c r="I309" s="595">
        <f>1731000000+360000000</f>
        <v>2091000000</v>
      </c>
      <c r="J309" s="474">
        <v>573932833</v>
      </c>
      <c r="K309" s="565">
        <v>451396716</v>
      </c>
      <c r="L309" s="520">
        <f t="shared" si="112"/>
        <v>27.447768197034911</v>
      </c>
      <c r="M309" s="520">
        <f t="shared" si="113"/>
        <v>127.14599212990288</v>
      </c>
    </row>
    <row r="310" spans="1:27" ht="18.75">
      <c r="A310" s="436"/>
      <c r="B310" s="613" t="s">
        <v>751</v>
      </c>
      <c r="C310" s="611"/>
      <c r="D310" s="611"/>
      <c r="E310" s="611"/>
      <c r="F310" s="611"/>
      <c r="G310" s="611"/>
      <c r="H310" s="610"/>
      <c r="I310" s="595">
        <f>311919000+1768800</f>
        <v>313687800</v>
      </c>
      <c r="J310" s="474">
        <f>311316421+1768800</f>
        <v>313085221</v>
      </c>
      <c r="K310" s="565"/>
      <c r="L310" s="520"/>
      <c r="M310" s="520"/>
    </row>
    <row r="311" spans="1:27" ht="18.75">
      <c r="A311" s="436"/>
      <c r="B311" s="438" t="s">
        <v>10</v>
      </c>
      <c r="C311" s="123">
        <v>1110440</v>
      </c>
      <c r="D311" s="123">
        <v>412</v>
      </c>
      <c r="E311" s="123">
        <v>283</v>
      </c>
      <c r="F311" s="123">
        <v>13</v>
      </c>
      <c r="G311" s="123"/>
      <c r="H311" s="269">
        <v>200</v>
      </c>
      <c r="I311" s="491">
        <v>502000000</v>
      </c>
      <c r="J311" s="474">
        <v>42341791</v>
      </c>
      <c r="K311" s="565">
        <v>52518250</v>
      </c>
      <c r="L311" s="520">
        <f t="shared" si="112"/>
        <v>8.4346197211155385</v>
      </c>
      <c r="M311" s="520">
        <f t="shared" si="113"/>
        <v>80.623004384190253</v>
      </c>
    </row>
    <row r="312" spans="1:27" ht="37.5">
      <c r="A312" s="436" t="s">
        <v>98</v>
      </c>
      <c r="B312" s="437" t="s">
        <v>352</v>
      </c>
      <c r="C312" s="522"/>
      <c r="D312" s="522"/>
      <c r="E312" s="522"/>
      <c r="F312" s="522"/>
      <c r="G312" s="522"/>
      <c r="H312" s="523"/>
      <c r="I312" s="491">
        <v>219000000</v>
      </c>
      <c r="J312" s="474">
        <v>77692535</v>
      </c>
      <c r="K312" s="565">
        <v>45912360</v>
      </c>
      <c r="L312" s="520">
        <f t="shared" ref="L312:L383" si="136">+J312/I312*100</f>
        <v>35.476043378995428</v>
      </c>
      <c r="M312" s="520">
        <f t="shared" ref="M312:M383" si="137">+J312/K312*100</f>
        <v>169.21921460800533</v>
      </c>
    </row>
    <row r="313" spans="1:27" ht="18.75">
      <c r="A313" s="427" t="s">
        <v>15</v>
      </c>
      <c r="B313" s="439" t="s">
        <v>69</v>
      </c>
      <c r="C313" s="403"/>
      <c r="D313" s="403"/>
      <c r="E313" s="403"/>
      <c r="F313" s="403"/>
      <c r="G313" s="403"/>
      <c r="H313" s="519"/>
      <c r="I313" s="472">
        <f>SUM(I314:I315)</f>
        <v>0</v>
      </c>
      <c r="J313" s="472">
        <f t="shared" ref="J313:K313" si="138">SUM(J314:J315)</f>
        <v>0</v>
      </c>
      <c r="K313" s="472">
        <f t="shared" si="138"/>
        <v>128331200</v>
      </c>
      <c r="L313" s="521" t="e">
        <f t="shared" si="136"/>
        <v>#DIV/0!</v>
      </c>
      <c r="M313" s="521">
        <f t="shared" si="137"/>
        <v>0</v>
      </c>
    </row>
    <row r="314" spans="1:27" ht="37.5">
      <c r="A314" s="427"/>
      <c r="B314" s="437" t="s">
        <v>512</v>
      </c>
      <c r="C314" s="403"/>
      <c r="D314" s="403"/>
      <c r="E314" s="403"/>
      <c r="F314" s="403"/>
      <c r="G314" s="403"/>
      <c r="H314" s="519"/>
      <c r="I314" s="595">
        <f>361768800-360000000-1768800</f>
        <v>0</v>
      </c>
      <c r="J314" s="474"/>
      <c r="K314" s="565"/>
      <c r="L314" s="521" t="e">
        <f t="shared" si="136"/>
        <v>#DIV/0!</v>
      </c>
      <c r="M314" s="521" t="e">
        <f t="shared" si="137"/>
        <v>#DIV/0!</v>
      </c>
    </row>
    <row r="315" spans="1:27" ht="33">
      <c r="A315" s="427"/>
      <c r="B315" s="156" t="s">
        <v>774</v>
      </c>
      <c r="C315" s="403"/>
      <c r="D315" s="403"/>
      <c r="E315" s="403"/>
      <c r="F315" s="403"/>
      <c r="G315" s="403"/>
      <c r="H315" s="519"/>
      <c r="I315" s="595"/>
      <c r="J315" s="474"/>
      <c r="K315" s="175">
        <v>128331200</v>
      </c>
      <c r="L315" s="521"/>
      <c r="M315" s="521"/>
    </row>
    <row r="316" spans="1:27" s="145" customFormat="1" ht="18.75">
      <c r="A316" s="427" t="s">
        <v>9</v>
      </c>
      <c r="B316" s="420" t="s">
        <v>461</v>
      </c>
      <c r="C316" s="123">
        <v>1110440</v>
      </c>
      <c r="D316" s="123">
        <v>412</v>
      </c>
      <c r="E316" s="123">
        <v>283</v>
      </c>
      <c r="F316" s="123">
        <v>14</v>
      </c>
      <c r="G316" s="123"/>
      <c r="H316" s="269">
        <v>200</v>
      </c>
      <c r="I316" s="488">
        <f t="shared" ref="I316:K316" si="139">+I317+I318+I325</f>
        <v>3945200000</v>
      </c>
      <c r="J316" s="488">
        <f t="shared" si="139"/>
        <v>991272060</v>
      </c>
      <c r="K316" s="563">
        <f t="shared" si="139"/>
        <v>1117430408</v>
      </c>
      <c r="L316" s="520">
        <f t="shared" si="136"/>
        <v>25.126028084761227</v>
      </c>
      <c r="M316" s="520">
        <f t="shared" si="137"/>
        <v>88.709959287236444</v>
      </c>
      <c r="R316" s="386"/>
      <c r="S316" s="386"/>
      <c r="AA316" s="128"/>
    </row>
    <row r="317" spans="1:27" ht="18.75">
      <c r="A317" s="436" t="s">
        <v>14</v>
      </c>
      <c r="B317" s="440" t="s">
        <v>36</v>
      </c>
      <c r="C317" s="403"/>
      <c r="D317" s="403"/>
      <c r="E317" s="403"/>
      <c r="F317" s="522" t="s">
        <v>339</v>
      </c>
      <c r="G317" s="403"/>
      <c r="H317" s="519"/>
      <c r="I317" s="474">
        <v>54000000</v>
      </c>
      <c r="J317" s="474"/>
      <c r="K317" s="565">
        <v>1264800</v>
      </c>
      <c r="L317" s="520">
        <f t="shared" si="136"/>
        <v>0</v>
      </c>
      <c r="M317" s="520">
        <f t="shared" si="137"/>
        <v>0</v>
      </c>
    </row>
    <row r="318" spans="1:27" ht="18.75">
      <c r="A318" s="436" t="s">
        <v>15</v>
      </c>
      <c r="B318" s="440" t="s">
        <v>446</v>
      </c>
      <c r="C318" s="123">
        <v>1110440</v>
      </c>
      <c r="D318" s="123">
        <v>412</v>
      </c>
      <c r="E318" s="123">
        <v>283</v>
      </c>
      <c r="F318" s="123">
        <v>12</v>
      </c>
      <c r="G318" s="123"/>
      <c r="H318" s="269">
        <v>200</v>
      </c>
      <c r="I318" s="490">
        <f t="shared" ref="I318:K318" si="140">SUM(I319:I324)</f>
        <v>3891200000</v>
      </c>
      <c r="J318" s="490">
        <f t="shared" si="140"/>
        <v>991272060</v>
      </c>
      <c r="K318" s="566">
        <f t="shared" si="140"/>
        <v>1116165608</v>
      </c>
      <c r="L318" s="520">
        <f t="shared" si="136"/>
        <v>25.47471371299342</v>
      </c>
      <c r="M318" s="520">
        <f t="shared" si="137"/>
        <v>88.810482324053126</v>
      </c>
    </row>
    <row r="319" spans="1:27" ht="18.75">
      <c r="A319" s="436"/>
      <c r="B319" s="437" t="s">
        <v>351</v>
      </c>
      <c r="C319" s="403"/>
      <c r="D319" s="403"/>
      <c r="E319" s="403"/>
      <c r="F319" s="403"/>
      <c r="G319" s="403"/>
      <c r="H319" s="519"/>
      <c r="I319" s="474">
        <v>41000000</v>
      </c>
      <c r="J319" s="474">
        <v>12578200</v>
      </c>
      <c r="K319" s="565">
        <v>14994000</v>
      </c>
      <c r="L319" s="520">
        <f t="shared" si="136"/>
        <v>30.678536585365851</v>
      </c>
      <c r="M319" s="520">
        <f t="shared" si="137"/>
        <v>83.888221955448856</v>
      </c>
    </row>
    <row r="320" spans="1:27" ht="18.75">
      <c r="A320" s="436"/>
      <c r="B320" s="448" t="s">
        <v>357</v>
      </c>
      <c r="C320" s="403"/>
      <c r="D320" s="403"/>
      <c r="E320" s="403"/>
      <c r="F320" s="403"/>
      <c r="G320" s="403"/>
      <c r="H320" s="519"/>
      <c r="I320" s="591">
        <f>16000000*0</f>
        <v>0</v>
      </c>
      <c r="J320" s="474">
        <v>0</v>
      </c>
      <c r="K320" s="565">
        <v>18035000</v>
      </c>
      <c r="L320" s="521" t="e">
        <f t="shared" si="136"/>
        <v>#DIV/0!</v>
      </c>
      <c r="M320" s="521">
        <f t="shared" si="137"/>
        <v>0</v>
      </c>
    </row>
    <row r="321" spans="1:27" s="145" customFormat="1" ht="18.75">
      <c r="A321" s="436"/>
      <c r="B321" s="437" t="s">
        <v>350</v>
      </c>
      <c r="C321" s="123"/>
      <c r="D321" s="123"/>
      <c r="E321" s="123"/>
      <c r="F321" s="123"/>
      <c r="G321" s="123"/>
      <c r="H321" s="269"/>
      <c r="I321" s="474">
        <v>10000000</v>
      </c>
      <c r="J321" s="474">
        <v>9862000</v>
      </c>
      <c r="K321" s="565">
        <v>2750000</v>
      </c>
      <c r="L321" s="521">
        <f t="shared" si="136"/>
        <v>98.61999999999999</v>
      </c>
      <c r="M321" s="521">
        <f t="shared" si="137"/>
        <v>358.61818181818182</v>
      </c>
      <c r="R321" s="386"/>
      <c r="S321" s="386"/>
      <c r="AA321" s="128"/>
    </row>
    <row r="322" spans="1:27" ht="18.75">
      <c r="A322" s="436"/>
      <c r="B322" s="448" t="s">
        <v>448</v>
      </c>
      <c r="C322" s="403"/>
      <c r="D322" s="403"/>
      <c r="E322" s="403"/>
      <c r="F322" s="403"/>
      <c r="G322" s="403"/>
      <c r="H322" s="519"/>
      <c r="I322" s="624">
        <f>149000000-26000000</f>
        <v>123000000</v>
      </c>
      <c r="J322" s="474">
        <v>49259360</v>
      </c>
      <c r="K322" s="565">
        <v>55890100</v>
      </c>
      <c r="L322" s="520">
        <f t="shared" si="136"/>
        <v>40.048260162601622</v>
      </c>
      <c r="M322" s="520">
        <f t="shared" si="137"/>
        <v>88.136109972964803</v>
      </c>
    </row>
    <row r="323" spans="1:27" ht="18.75">
      <c r="A323" s="436"/>
      <c r="B323" s="448" t="s">
        <v>47</v>
      </c>
      <c r="C323" s="403"/>
      <c r="D323" s="403"/>
      <c r="E323" s="403"/>
      <c r="F323" s="403"/>
      <c r="G323" s="403"/>
      <c r="H323" s="519"/>
      <c r="I323" s="625">
        <f>3628000000+89200000</f>
        <v>3717200000</v>
      </c>
      <c r="J323" s="474">
        <v>919572500</v>
      </c>
      <c r="K323" s="565">
        <v>1024496508</v>
      </c>
      <c r="L323" s="520">
        <f t="shared" si="136"/>
        <v>24.738311094372108</v>
      </c>
      <c r="M323" s="520">
        <f t="shared" si="137"/>
        <v>89.758480660433833</v>
      </c>
    </row>
    <row r="324" spans="1:27" ht="18.75">
      <c r="A324" s="436"/>
      <c r="B324" s="437" t="s">
        <v>506</v>
      </c>
      <c r="C324" s="403"/>
      <c r="D324" s="403"/>
      <c r="E324" s="403"/>
      <c r="F324" s="403"/>
      <c r="G324" s="403"/>
      <c r="H324" s="519"/>
      <c r="I324" s="591"/>
      <c r="J324" s="474"/>
      <c r="K324" s="565"/>
      <c r="L324" s="521" t="e">
        <f t="shared" si="136"/>
        <v>#DIV/0!</v>
      </c>
      <c r="M324" s="521" t="e">
        <f t="shared" si="137"/>
        <v>#DIV/0!</v>
      </c>
    </row>
    <row r="325" spans="1:27" ht="37.5">
      <c r="A325" s="434" t="s">
        <v>24</v>
      </c>
      <c r="B325" s="447" t="s">
        <v>710</v>
      </c>
      <c r="C325" s="403"/>
      <c r="D325" s="403"/>
      <c r="E325" s="403"/>
      <c r="F325" s="403"/>
      <c r="G325" s="403"/>
      <c r="H325" s="519"/>
      <c r="I325" s="488">
        <v>0</v>
      </c>
      <c r="J325" s="474"/>
      <c r="K325" s="565"/>
      <c r="L325" s="521" t="e">
        <f t="shared" si="136"/>
        <v>#DIV/0!</v>
      </c>
      <c r="M325" s="521" t="e">
        <f t="shared" si="137"/>
        <v>#DIV/0!</v>
      </c>
    </row>
    <row r="326" spans="1:27" s="608" customFormat="1" ht="19.5">
      <c r="A326" s="601" t="s">
        <v>20</v>
      </c>
      <c r="B326" s="633" t="s">
        <v>759</v>
      </c>
      <c r="C326" s="634"/>
      <c r="D326" s="634"/>
      <c r="E326" s="634"/>
      <c r="F326" s="634"/>
      <c r="G326" s="634"/>
      <c r="H326" s="635"/>
      <c r="I326" s="636">
        <f>+I327</f>
        <v>25000000</v>
      </c>
      <c r="J326" s="636">
        <f t="shared" ref="J326:K326" si="141">+J327</f>
        <v>24900000</v>
      </c>
      <c r="K326" s="636">
        <f t="shared" si="141"/>
        <v>0</v>
      </c>
      <c r="L326" s="637"/>
      <c r="M326" s="637"/>
      <c r="R326" s="609"/>
      <c r="S326" s="609"/>
    </row>
    <row r="327" spans="1:27" ht="19.5">
      <c r="A327" s="434"/>
      <c r="B327" s="630" t="s">
        <v>757</v>
      </c>
      <c r="C327" s="403"/>
      <c r="D327" s="403"/>
      <c r="E327" s="403"/>
      <c r="F327" s="403"/>
      <c r="G327" s="403"/>
      <c r="H327" s="519"/>
      <c r="I327" s="632">
        <v>25000000</v>
      </c>
      <c r="J327" s="474">
        <v>24900000</v>
      </c>
      <c r="K327" s="565"/>
      <c r="L327" s="521"/>
      <c r="M327" s="521"/>
    </row>
    <row r="328" spans="1:27" s="147" customFormat="1" ht="19.5">
      <c r="A328" s="434">
        <v>2</v>
      </c>
      <c r="B328" s="420" t="s">
        <v>537</v>
      </c>
      <c r="C328" s="544"/>
      <c r="D328" s="544"/>
      <c r="E328" s="544"/>
      <c r="F328" s="544"/>
      <c r="G328" s="544"/>
      <c r="H328" s="545"/>
      <c r="I328" s="477">
        <f t="shared" ref="I328:K328" si="142">SUM(I329:I331)</f>
        <v>75600000</v>
      </c>
      <c r="J328" s="477">
        <f t="shared" si="142"/>
        <v>0</v>
      </c>
      <c r="K328" s="555">
        <f t="shared" si="142"/>
        <v>0</v>
      </c>
      <c r="L328" s="520">
        <f t="shared" si="136"/>
        <v>0</v>
      </c>
      <c r="M328" s="520" t="e">
        <f t="shared" si="137"/>
        <v>#DIV/0!</v>
      </c>
      <c r="R328" s="387"/>
      <c r="S328" s="387"/>
      <c r="AA328" s="128"/>
    </row>
    <row r="329" spans="1:27" s="171" customFormat="1" ht="19.5">
      <c r="A329" s="434"/>
      <c r="B329" s="438" t="s">
        <v>547</v>
      </c>
      <c r="C329" s="546"/>
      <c r="D329" s="546"/>
      <c r="E329" s="546"/>
      <c r="F329" s="546"/>
      <c r="G329" s="546"/>
      <c r="H329" s="547"/>
      <c r="I329" s="489">
        <v>42700000</v>
      </c>
      <c r="J329" s="474"/>
      <c r="K329" s="565"/>
      <c r="L329" s="520">
        <f t="shared" si="136"/>
        <v>0</v>
      </c>
      <c r="M329" s="520" t="e">
        <f t="shared" si="137"/>
        <v>#DIV/0!</v>
      </c>
      <c r="R329" s="391"/>
      <c r="S329" s="391"/>
      <c r="AA329" s="128"/>
    </row>
    <row r="330" spans="1:27" ht="37.5">
      <c r="A330" s="434"/>
      <c r="B330" s="438" t="s">
        <v>541</v>
      </c>
      <c r="C330" s="548">
        <v>1030253</v>
      </c>
      <c r="D330" s="548">
        <v>412</v>
      </c>
      <c r="E330" s="548"/>
      <c r="F330" s="548"/>
      <c r="G330" s="548"/>
      <c r="H330" s="549"/>
      <c r="I330" s="478">
        <v>1400000</v>
      </c>
      <c r="J330" s="474"/>
      <c r="K330" s="565"/>
      <c r="L330" s="520">
        <f t="shared" si="136"/>
        <v>0</v>
      </c>
      <c r="M330" s="521" t="e">
        <f t="shared" si="137"/>
        <v>#DIV/0!</v>
      </c>
    </row>
    <row r="331" spans="1:27" ht="37.5">
      <c r="A331" s="434"/>
      <c r="B331" s="438" t="s">
        <v>548</v>
      </c>
      <c r="C331" s="123">
        <v>1030253</v>
      </c>
      <c r="D331" s="123">
        <v>412</v>
      </c>
      <c r="E331" s="538" t="s">
        <v>378</v>
      </c>
      <c r="F331" s="123">
        <v>12</v>
      </c>
      <c r="G331" s="538" t="s">
        <v>159</v>
      </c>
      <c r="H331" s="269">
        <v>100</v>
      </c>
      <c r="I331" s="474">
        <v>31500000</v>
      </c>
      <c r="J331" s="474"/>
      <c r="K331" s="565"/>
      <c r="L331" s="520">
        <f t="shared" si="136"/>
        <v>0</v>
      </c>
      <c r="M331" s="520" t="e">
        <f t="shared" si="137"/>
        <v>#DIV/0!</v>
      </c>
    </row>
    <row r="332" spans="1:27" s="141" customFormat="1" ht="18.75">
      <c r="A332" s="427">
        <v>3</v>
      </c>
      <c r="B332" s="428" t="s">
        <v>34</v>
      </c>
      <c r="C332" s="550"/>
      <c r="D332" s="550"/>
      <c r="E332" s="550"/>
      <c r="F332" s="550"/>
      <c r="G332" s="550"/>
      <c r="H332" s="550"/>
      <c r="I332" s="472">
        <f t="shared" ref="I332:K332" si="143">I333+I342</f>
        <v>18895801000</v>
      </c>
      <c r="J332" s="472">
        <f t="shared" si="143"/>
        <v>7669222497</v>
      </c>
      <c r="K332" s="558">
        <f t="shared" si="143"/>
        <v>7565077059</v>
      </c>
      <c r="L332" s="520">
        <f t="shared" si="136"/>
        <v>40.586913976284997</v>
      </c>
      <c r="M332" s="520">
        <f t="shared" si="137"/>
        <v>101.37666063660384</v>
      </c>
      <c r="R332" s="385"/>
      <c r="S332" s="385"/>
      <c r="AA332" s="128"/>
    </row>
    <row r="333" spans="1:27" ht="18" customHeight="1">
      <c r="A333" s="427" t="s">
        <v>623</v>
      </c>
      <c r="B333" s="420" t="s">
        <v>7</v>
      </c>
      <c r="C333" s="551"/>
      <c r="D333" s="551"/>
      <c r="E333" s="551" t="s">
        <v>497</v>
      </c>
      <c r="F333" s="523">
        <v>12</v>
      </c>
      <c r="G333" s="551" t="s">
        <v>172</v>
      </c>
      <c r="H333" s="523">
        <v>100</v>
      </c>
      <c r="I333" s="488">
        <f t="shared" ref="I333:K333" si="144">I334+I339</f>
        <v>6425727000</v>
      </c>
      <c r="J333" s="488">
        <f t="shared" si="144"/>
        <v>1185623125</v>
      </c>
      <c r="K333" s="563">
        <f t="shared" si="144"/>
        <v>1387274069</v>
      </c>
      <c r="L333" s="520">
        <f t="shared" si="136"/>
        <v>18.451190425612541</v>
      </c>
      <c r="M333" s="520">
        <f t="shared" si="137"/>
        <v>85.464231725649014</v>
      </c>
    </row>
    <row r="334" spans="1:27" ht="18" customHeight="1">
      <c r="A334" s="427" t="s">
        <v>14</v>
      </c>
      <c r="B334" s="420" t="s">
        <v>67</v>
      </c>
      <c r="C334" s="551"/>
      <c r="D334" s="551"/>
      <c r="E334" s="551"/>
      <c r="F334" s="551"/>
      <c r="G334" s="551"/>
      <c r="H334" s="523"/>
      <c r="I334" s="488">
        <f t="shared" ref="I334:K334" si="145">I335</f>
        <v>6425727000</v>
      </c>
      <c r="J334" s="488">
        <f t="shared" si="145"/>
        <v>1185623125</v>
      </c>
      <c r="K334" s="563">
        <f t="shared" si="145"/>
        <v>1127274069</v>
      </c>
      <c r="L334" s="520">
        <f t="shared" si="136"/>
        <v>18.451190425612541</v>
      </c>
      <c r="M334" s="520">
        <f t="shared" si="137"/>
        <v>105.17611977464905</v>
      </c>
    </row>
    <row r="335" spans="1:27" s="141" customFormat="1" ht="18.75">
      <c r="A335" s="427"/>
      <c r="B335" s="437" t="s">
        <v>73</v>
      </c>
      <c r="C335" s="550"/>
      <c r="D335" s="550"/>
      <c r="E335" s="550"/>
      <c r="F335" s="550"/>
      <c r="G335" s="550"/>
      <c r="H335" s="550"/>
      <c r="I335" s="489">
        <f>I336+I338+I337</f>
        <v>6425727000</v>
      </c>
      <c r="J335" s="489">
        <f t="shared" ref="J335:K335" si="146">J336+J338</f>
        <v>1185623125</v>
      </c>
      <c r="K335" s="564">
        <f t="shared" si="146"/>
        <v>1127274069</v>
      </c>
      <c r="L335" s="520">
        <f t="shared" si="136"/>
        <v>18.451190425612541</v>
      </c>
      <c r="M335" s="520">
        <f t="shared" si="137"/>
        <v>105.17611977464905</v>
      </c>
      <c r="R335" s="385"/>
      <c r="S335" s="385"/>
      <c r="AA335" s="128"/>
    </row>
    <row r="336" spans="1:27" ht="41.25" customHeight="1">
      <c r="A336" s="427"/>
      <c r="B336" s="438" t="s">
        <v>48</v>
      </c>
      <c r="C336" s="551"/>
      <c r="D336" s="551"/>
      <c r="E336" s="551"/>
      <c r="F336" s="551"/>
      <c r="G336" s="551"/>
      <c r="H336" s="523"/>
      <c r="I336" s="595">
        <f>3854000000+802000000</f>
        <v>4656000000</v>
      </c>
      <c r="J336" s="474">
        <v>1025921564</v>
      </c>
      <c r="K336" s="565">
        <v>1023702456</v>
      </c>
      <c r="L336" s="520">
        <f t="shared" si="136"/>
        <v>22.034397852233678</v>
      </c>
      <c r="M336" s="520">
        <f t="shared" si="137"/>
        <v>100.21677275335168</v>
      </c>
    </row>
    <row r="337" spans="1:27" ht="41.25" customHeight="1">
      <c r="A337" s="427"/>
      <c r="B337" s="613" t="s">
        <v>752</v>
      </c>
      <c r="C337" s="551"/>
      <c r="D337" s="551"/>
      <c r="E337" s="551"/>
      <c r="F337" s="551"/>
      <c r="G337" s="551"/>
      <c r="H337" s="523"/>
      <c r="I337" s="595">
        <v>701727000</v>
      </c>
      <c r="J337" s="474">
        <v>701727000</v>
      </c>
      <c r="K337" s="565"/>
      <c r="L337" s="520"/>
      <c r="M337" s="520"/>
    </row>
    <row r="338" spans="1:27" ht="18.75">
      <c r="A338" s="427"/>
      <c r="B338" s="438" t="s">
        <v>10</v>
      </c>
      <c r="C338" s="123">
        <v>1030253</v>
      </c>
      <c r="D338" s="123">
        <v>412</v>
      </c>
      <c r="E338" s="123"/>
      <c r="F338" s="123"/>
      <c r="G338" s="538" t="s">
        <v>176</v>
      </c>
      <c r="H338" s="269"/>
      <c r="I338" s="489">
        <v>1068000000</v>
      </c>
      <c r="J338" s="474">
        <v>159701561</v>
      </c>
      <c r="K338" s="565">
        <v>103571613</v>
      </c>
      <c r="L338" s="520">
        <f t="shared" si="136"/>
        <v>14.95332968164794</v>
      </c>
      <c r="M338" s="520">
        <f t="shared" si="137"/>
        <v>154.19433604843056</v>
      </c>
    </row>
    <row r="339" spans="1:27" s="141" customFormat="1" ht="18.75">
      <c r="A339" s="427" t="s">
        <v>15</v>
      </c>
      <c r="B339" s="420" t="s">
        <v>69</v>
      </c>
      <c r="C339" s="123">
        <v>1030253</v>
      </c>
      <c r="D339" s="123">
        <v>412</v>
      </c>
      <c r="E339" s="123">
        <v>280</v>
      </c>
      <c r="F339" s="123">
        <v>12</v>
      </c>
      <c r="G339" s="538" t="s">
        <v>180</v>
      </c>
      <c r="H339" s="269">
        <v>100</v>
      </c>
      <c r="I339" s="472">
        <f>SUM(I340:I341)</f>
        <v>0</v>
      </c>
      <c r="J339" s="472">
        <f t="shared" ref="J339:K339" si="147">SUM(J340:J341)</f>
        <v>0</v>
      </c>
      <c r="K339" s="472">
        <f t="shared" si="147"/>
        <v>260000000</v>
      </c>
      <c r="L339" s="521" t="e">
        <f t="shared" si="136"/>
        <v>#DIV/0!</v>
      </c>
      <c r="M339" s="521">
        <f t="shared" si="137"/>
        <v>0</v>
      </c>
      <c r="R339" s="385"/>
      <c r="S339" s="385"/>
      <c r="AA339" s="128"/>
    </row>
    <row r="340" spans="1:27" ht="37.5">
      <c r="A340" s="427"/>
      <c r="B340" s="437" t="s">
        <v>520</v>
      </c>
      <c r="C340" s="522"/>
      <c r="D340" s="522"/>
      <c r="E340" s="522"/>
      <c r="F340" s="522"/>
      <c r="G340" s="522"/>
      <c r="H340" s="523"/>
      <c r="I340" s="595">
        <f>802000000*0</f>
        <v>0</v>
      </c>
      <c r="J340" s="474"/>
      <c r="K340" s="565"/>
      <c r="L340" s="521" t="e">
        <f t="shared" si="136"/>
        <v>#DIV/0!</v>
      </c>
      <c r="M340" s="521" t="e">
        <f t="shared" si="137"/>
        <v>#DIV/0!</v>
      </c>
    </row>
    <row r="341" spans="1:27" ht="33">
      <c r="A341" s="427"/>
      <c r="B341" s="156" t="s">
        <v>774</v>
      </c>
      <c r="C341" s="522"/>
      <c r="D341" s="522"/>
      <c r="E341" s="522"/>
      <c r="F341" s="522"/>
      <c r="G341" s="522"/>
      <c r="H341" s="523"/>
      <c r="I341" s="595"/>
      <c r="J341" s="474"/>
      <c r="K341" s="565">
        <v>260000000</v>
      </c>
      <c r="L341" s="521"/>
      <c r="M341" s="521"/>
    </row>
    <row r="342" spans="1:27" s="141" customFormat="1" ht="18.75">
      <c r="A342" s="427" t="s">
        <v>624</v>
      </c>
      <c r="B342" s="420" t="s">
        <v>461</v>
      </c>
      <c r="C342" s="522"/>
      <c r="D342" s="522"/>
      <c r="E342" s="522">
        <v>281</v>
      </c>
      <c r="F342" s="522">
        <v>12</v>
      </c>
      <c r="G342" s="522" t="s">
        <v>180</v>
      </c>
      <c r="H342" s="523">
        <v>100</v>
      </c>
      <c r="I342" s="488">
        <f>SUM(I343:I351)+SUM(I355:I362)</f>
        <v>12470074000</v>
      </c>
      <c r="J342" s="488">
        <f t="shared" ref="J342:K342" si="148">SUM(J343:J351)+SUM(J355:J362)</f>
        <v>6483599372</v>
      </c>
      <c r="K342" s="488">
        <f t="shared" si="148"/>
        <v>6177802990</v>
      </c>
      <c r="L342" s="520">
        <f t="shared" si="136"/>
        <v>51.993271026298636</v>
      </c>
      <c r="M342" s="520">
        <f t="shared" si="137"/>
        <v>104.94992123405346</v>
      </c>
      <c r="R342" s="385"/>
      <c r="S342" s="385"/>
      <c r="AA342" s="128"/>
    </row>
    <row r="343" spans="1:27" s="141" customFormat="1" ht="18.75">
      <c r="A343" s="436" t="s">
        <v>14</v>
      </c>
      <c r="B343" s="437" t="s">
        <v>49</v>
      </c>
      <c r="C343" s="123">
        <v>1030253</v>
      </c>
      <c r="D343" s="123">
        <v>412</v>
      </c>
      <c r="E343" s="123">
        <v>250</v>
      </c>
      <c r="F343" s="123">
        <v>12</v>
      </c>
      <c r="G343" s="538" t="s">
        <v>186</v>
      </c>
      <c r="H343" s="269">
        <v>100</v>
      </c>
      <c r="I343" s="491">
        <v>2031000000</v>
      </c>
      <c r="J343" s="474">
        <v>0</v>
      </c>
      <c r="K343" s="565">
        <v>524799000</v>
      </c>
      <c r="L343" s="520">
        <f t="shared" si="136"/>
        <v>0</v>
      </c>
      <c r="M343" s="520">
        <f t="shared" si="137"/>
        <v>0</v>
      </c>
      <c r="R343" s="385"/>
      <c r="S343" s="385"/>
      <c r="AA343" s="128"/>
    </row>
    <row r="344" spans="1:27" ht="18.75">
      <c r="A344" s="436" t="s">
        <v>15</v>
      </c>
      <c r="B344" s="437" t="s">
        <v>50</v>
      </c>
      <c r="C344" s="522"/>
      <c r="D344" s="522"/>
      <c r="E344" s="522"/>
      <c r="F344" s="522"/>
      <c r="G344" s="522"/>
      <c r="H344" s="523"/>
      <c r="I344" s="491">
        <v>171000000</v>
      </c>
      <c r="J344" s="474">
        <v>21238086</v>
      </c>
      <c r="K344" s="565">
        <v>13464500</v>
      </c>
      <c r="L344" s="520">
        <f t="shared" si="136"/>
        <v>12.419933333333333</v>
      </c>
      <c r="M344" s="520">
        <f t="shared" si="137"/>
        <v>157.73393739091685</v>
      </c>
    </row>
    <row r="345" spans="1:27" s="141" customFormat="1" ht="18.75">
      <c r="A345" s="436" t="s">
        <v>24</v>
      </c>
      <c r="B345" s="437" t="s">
        <v>52</v>
      </c>
      <c r="C345" s="522"/>
      <c r="D345" s="522"/>
      <c r="E345" s="522">
        <v>278</v>
      </c>
      <c r="F345" s="522">
        <v>12</v>
      </c>
      <c r="G345" s="522" t="s">
        <v>186</v>
      </c>
      <c r="H345" s="523">
        <v>100</v>
      </c>
      <c r="I345" s="491">
        <v>2038000000</v>
      </c>
      <c r="J345" s="474">
        <v>1522210662</v>
      </c>
      <c r="K345" s="565">
        <v>1116009570</v>
      </c>
      <c r="L345" s="520">
        <f t="shared" si="136"/>
        <v>74.691396565260064</v>
      </c>
      <c r="M345" s="520">
        <f t="shared" si="137"/>
        <v>136.39763519232187</v>
      </c>
      <c r="R345" s="385"/>
      <c r="S345" s="385"/>
      <c r="AA345" s="128"/>
    </row>
    <row r="346" spans="1:27" s="141" customFormat="1" ht="18.75">
      <c r="A346" s="436" t="s">
        <v>313</v>
      </c>
      <c r="B346" s="437" t="s">
        <v>53</v>
      </c>
      <c r="C346" s="123">
        <v>1030253</v>
      </c>
      <c r="D346" s="123">
        <v>412</v>
      </c>
      <c r="E346" s="123">
        <v>340</v>
      </c>
      <c r="F346" s="123">
        <v>12</v>
      </c>
      <c r="G346" s="538" t="s">
        <v>192</v>
      </c>
      <c r="H346" s="269">
        <v>100</v>
      </c>
      <c r="I346" s="594">
        <f>1330000000-92800000</f>
        <v>1237200000</v>
      </c>
      <c r="J346" s="474">
        <v>703867360</v>
      </c>
      <c r="K346" s="565">
        <v>1255608768</v>
      </c>
      <c r="L346" s="520">
        <f t="shared" si="136"/>
        <v>56.891962495958616</v>
      </c>
      <c r="M346" s="520">
        <f t="shared" si="137"/>
        <v>56.057856391139829</v>
      </c>
      <c r="R346" s="385"/>
      <c r="S346" s="385"/>
      <c r="AA346" s="128"/>
    </row>
    <row r="347" spans="1:27" ht="18.75">
      <c r="A347" s="436" t="s">
        <v>314</v>
      </c>
      <c r="B347" s="437" t="s">
        <v>54</v>
      </c>
      <c r="C347" s="522"/>
      <c r="D347" s="522"/>
      <c r="E347" s="403">
        <v>341</v>
      </c>
      <c r="F347" s="403">
        <v>12</v>
      </c>
      <c r="G347" s="522" t="s">
        <v>192</v>
      </c>
      <c r="H347" s="519">
        <v>100</v>
      </c>
      <c r="I347" s="476">
        <v>70000000</v>
      </c>
      <c r="J347" s="474">
        <v>54540104</v>
      </c>
      <c r="K347" s="565">
        <v>39608400</v>
      </c>
      <c r="L347" s="520">
        <f t="shared" si="136"/>
        <v>77.914434285714279</v>
      </c>
      <c r="M347" s="520">
        <f t="shared" si="137"/>
        <v>137.69832661758616</v>
      </c>
    </row>
    <row r="348" spans="1:27" s="141" customFormat="1" ht="18.75">
      <c r="A348" s="436" t="s">
        <v>315</v>
      </c>
      <c r="B348" s="437" t="s">
        <v>55</v>
      </c>
      <c r="C348" s="522"/>
      <c r="D348" s="522"/>
      <c r="E348" s="522"/>
      <c r="F348" s="522"/>
      <c r="G348" s="522"/>
      <c r="H348" s="523"/>
      <c r="I348" s="475">
        <v>860000000</v>
      </c>
      <c r="J348" s="474">
        <v>247697460</v>
      </c>
      <c r="K348" s="565">
        <v>521027616</v>
      </c>
      <c r="L348" s="520">
        <f t="shared" si="136"/>
        <v>28.802030232558138</v>
      </c>
      <c r="M348" s="520">
        <f t="shared" si="137"/>
        <v>47.540178753212189</v>
      </c>
      <c r="R348" s="385"/>
      <c r="S348" s="385"/>
      <c r="AA348" s="128"/>
    </row>
    <row r="349" spans="1:27" s="141" customFormat="1" ht="37.5">
      <c r="A349" s="436" t="s">
        <v>316</v>
      </c>
      <c r="B349" s="429" t="s">
        <v>56</v>
      </c>
      <c r="C349" s="522"/>
      <c r="D349" s="522"/>
      <c r="E349" s="522"/>
      <c r="F349" s="522"/>
      <c r="G349" s="522"/>
      <c r="H349" s="523"/>
      <c r="I349" s="475">
        <v>1490000000</v>
      </c>
      <c r="J349" s="474">
        <v>1192112774</v>
      </c>
      <c r="K349" s="565">
        <v>1321687878</v>
      </c>
      <c r="L349" s="520">
        <f t="shared" si="136"/>
        <v>80.007568724832211</v>
      </c>
      <c r="M349" s="520">
        <f t="shared" si="137"/>
        <v>90.196240265434284</v>
      </c>
      <c r="R349" s="385"/>
      <c r="S349" s="385"/>
      <c r="AA349" s="128"/>
    </row>
    <row r="350" spans="1:27" s="141" customFormat="1" ht="56.25">
      <c r="A350" s="436" t="s">
        <v>317</v>
      </c>
      <c r="B350" s="429" t="s">
        <v>385</v>
      </c>
      <c r="C350" s="522"/>
      <c r="D350" s="522"/>
      <c r="E350" s="522"/>
      <c r="F350" s="522"/>
      <c r="G350" s="522"/>
      <c r="H350" s="523"/>
      <c r="I350" s="625">
        <f>488000000-154000000</f>
        <v>334000000</v>
      </c>
      <c r="J350" s="474">
        <v>11500000</v>
      </c>
      <c r="K350" s="565">
        <v>63100000</v>
      </c>
      <c r="L350" s="521">
        <f t="shared" si="136"/>
        <v>3.44311377245509</v>
      </c>
      <c r="M350" s="521">
        <f t="shared" si="137"/>
        <v>18.225039619651348</v>
      </c>
      <c r="R350" s="385"/>
      <c r="S350" s="385"/>
      <c r="AA350" s="128"/>
    </row>
    <row r="351" spans="1:27" ht="18.75">
      <c r="A351" s="436" t="s">
        <v>496</v>
      </c>
      <c r="B351" s="429" t="s">
        <v>359</v>
      </c>
      <c r="C351" s="548">
        <v>1029501</v>
      </c>
      <c r="D351" s="548">
        <v>412</v>
      </c>
      <c r="E351" s="548"/>
      <c r="F351" s="548"/>
      <c r="G351" s="548"/>
      <c r="H351" s="549"/>
      <c r="I351" s="489">
        <f t="shared" ref="I351:K351" si="149">SUM(I352:I354)</f>
        <v>1434564000</v>
      </c>
      <c r="J351" s="489">
        <f t="shared" si="149"/>
        <v>764134568</v>
      </c>
      <c r="K351" s="564">
        <f t="shared" si="149"/>
        <v>954932701</v>
      </c>
      <c r="L351" s="520">
        <f t="shared" si="136"/>
        <v>53.265979628653724</v>
      </c>
      <c r="M351" s="520">
        <f t="shared" si="137"/>
        <v>80.019729892986462</v>
      </c>
    </row>
    <row r="352" spans="1:27" ht="18.75">
      <c r="A352" s="436"/>
      <c r="B352" s="454" t="s">
        <v>57</v>
      </c>
      <c r="C352" s="123">
        <v>1029501</v>
      </c>
      <c r="D352" s="123">
        <v>412</v>
      </c>
      <c r="E352" s="123">
        <v>340</v>
      </c>
      <c r="F352" s="123">
        <v>12</v>
      </c>
      <c r="G352" s="538" t="s">
        <v>176</v>
      </c>
      <c r="H352" s="269">
        <v>100</v>
      </c>
      <c r="I352" s="489">
        <v>104000000</v>
      </c>
      <c r="J352" s="474">
        <v>18240000</v>
      </c>
      <c r="K352" s="565">
        <v>50763000</v>
      </c>
      <c r="L352" s="520">
        <f t="shared" si="136"/>
        <v>17.53846153846154</v>
      </c>
      <c r="M352" s="521">
        <f t="shared" si="137"/>
        <v>35.931682524673484</v>
      </c>
    </row>
    <row r="353" spans="1:29" s="141" customFormat="1" ht="18.75">
      <c r="A353" s="436"/>
      <c r="B353" s="454" t="s">
        <v>58</v>
      </c>
      <c r="C353" s="123"/>
      <c r="D353" s="123"/>
      <c r="E353" s="123"/>
      <c r="F353" s="123"/>
      <c r="G353" s="123"/>
      <c r="H353" s="269"/>
      <c r="I353" s="594">
        <f>1300000000-31600000</f>
        <v>1268400000</v>
      </c>
      <c r="J353" s="474">
        <v>733666070</v>
      </c>
      <c r="K353" s="565">
        <v>857024701</v>
      </c>
      <c r="L353" s="520">
        <f t="shared" si="136"/>
        <v>57.841853516240938</v>
      </c>
      <c r="M353" s="520">
        <f t="shared" si="137"/>
        <v>85.606175544758315</v>
      </c>
      <c r="R353" s="385"/>
      <c r="S353" s="385"/>
      <c r="AA353" s="128"/>
    </row>
    <row r="354" spans="1:29" s="141" customFormat="1" ht="18.75">
      <c r="A354" s="436"/>
      <c r="B354" s="455" t="s">
        <v>59</v>
      </c>
      <c r="C354" s="123"/>
      <c r="D354" s="123"/>
      <c r="E354" s="123"/>
      <c r="F354" s="123"/>
      <c r="G354" s="522"/>
      <c r="H354" s="519"/>
      <c r="I354" s="595">
        <f>150000000-87836000</f>
        <v>62164000</v>
      </c>
      <c r="J354" s="474">
        <v>12228498</v>
      </c>
      <c r="K354" s="565">
        <v>47145000</v>
      </c>
      <c r="L354" s="520">
        <f t="shared" si="136"/>
        <v>19.671349977478929</v>
      </c>
      <c r="M354" s="521">
        <f t="shared" si="137"/>
        <v>25.938059179128221</v>
      </c>
      <c r="R354" s="385"/>
      <c r="S354" s="385"/>
      <c r="AA354" s="128"/>
    </row>
    <row r="355" spans="1:29" ht="18.75">
      <c r="A355" s="436" t="s">
        <v>318</v>
      </c>
      <c r="B355" s="429" t="s">
        <v>60</v>
      </c>
      <c r="C355" s="403"/>
      <c r="D355" s="403"/>
      <c r="E355" s="403">
        <v>341</v>
      </c>
      <c r="F355" s="403">
        <v>12</v>
      </c>
      <c r="G355" s="522" t="s">
        <v>192</v>
      </c>
      <c r="H355" s="519">
        <v>100</v>
      </c>
      <c r="I355" s="478">
        <v>300000000</v>
      </c>
      <c r="J355" s="474">
        <v>262082920</v>
      </c>
      <c r="K355" s="565">
        <v>271875000</v>
      </c>
      <c r="L355" s="520">
        <f t="shared" si="136"/>
        <v>87.360973333333334</v>
      </c>
      <c r="M355" s="520">
        <f t="shared" si="137"/>
        <v>96.398315402298849</v>
      </c>
    </row>
    <row r="356" spans="1:29" ht="18.75">
      <c r="A356" s="436" t="s">
        <v>319</v>
      </c>
      <c r="B356" s="429" t="s">
        <v>61</v>
      </c>
      <c r="C356" s="548">
        <v>1029499</v>
      </c>
      <c r="D356" s="548">
        <v>412</v>
      </c>
      <c r="E356" s="548"/>
      <c r="F356" s="548"/>
      <c r="G356" s="548"/>
      <c r="H356" s="549"/>
      <c r="I356" s="478">
        <v>100000000</v>
      </c>
      <c r="J356" s="474">
        <v>28300000</v>
      </c>
      <c r="K356" s="565">
        <v>12000000</v>
      </c>
      <c r="L356" s="520">
        <f t="shared" si="136"/>
        <v>28.299999999999997</v>
      </c>
      <c r="M356" s="521">
        <f t="shared" si="137"/>
        <v>235.83333333333334</v>
      </c>
    </row>
    <row r="357" spans="1:29" ht="75">
      <c r="A357" s="436" t="s">
        <v>711</v>
      </c>
      <c r="B357" s="429" t="s">
        <v>51</v>
      </c>
      <c r="C357" s="123">
        <v>1029499</v>
      </c>
      <c r="D357" s="123">
        <v>412</v>
      </c>
      <c r="E357" s="123">
        <v>340</v>
      </c>
      <c r="F357" s="123">
        <v>12</v>
      </c>
      <c r="G357" s="538" t="s">
        <v>176</v>
      </c>
      <c r="H357" s="269">
        <v>100</v>
      </c>
      <c r="I357" s="474">
        <v>0</v>
      </c>
      <c r="J357" s="474"/>
      <c r="K357" s="565">
        <v>10070280</v>
      </c>
      <c r="L357" s="521" t="e">
        <f t="shared" si="136"/>
        <v>#DIV/0!</v>
      </c>
      <c r="M357" s="520">
        <f t="shared" si="137"/>
        <v>0</v>
      </c>
    </row>
    <row r="358" spans="1:29" s="141" customFormat="1" ht="37.5">
      <c r="A358" s="436" t="s">
        <v>712</v>
      </c>
      <c r="B358" s="429" t="s">
        <v>713</v>
      </c>
      <c r="C358" s="123"/>
      <c r="D358" s="123"/>
      <c r="E358" s="123"/>
      <c r="F358" s="123"/>
      <c r="G358" s="123"/>
      <c r="H358" s="269"/>
      <c r="I358" s="473">
        <v>0</v>
      </c>
      <c r="J358" s="474"/>
      <c r="K358" s="565">
        <v>73619277</v>
      </c>
      <c r="L358" s="521" t="e">
        <f t="shared" si="136"/>
        <v>#DIV/0!</v>
      </c>
      <c r="M358" s="521">
        <f t="shared" si="137"/>
        <v>0</v>
      </c>
      <c r="R358" s="385"/>
      <c r="S358" s="385"/>
      <c r="AA358" s="128"/>
    </row>
    <row r="359" spans="1:29" s="141" customFormat="1" ht="37.5">
      <c r="A359" s="436" t="s">
        <v>714</v>
      </c>
      <c r="B359" s="429" t="s">
        <v>715</v>
      </c>
      <c r="C359" s="123"/>
      <c r="D359" s="123"/>
      <c r="E359" s="123"/>
      <c r="F359" s="123"/>
      <c r="G359" s="522"/>
      <c r="H359" s="523"/>
      <c r="I359" s="474">
        <v>2192010000</v>
      </c>
      <c r="J359" s="474">
        <v>1554781138</v>
      </c>
      <c r="K359" s="565"/>
      <c r="L359" s="521">
        <f t="shared" si="136"/>
        <v>70.929472858244253</v>
      </c>
      <c r="M359" s="521" t="e">
        <f t="shared" si="137"/>
        <v>#DIV/0!</v>
      </c>
      <c r="R359" s="385"/>
      <c r="S359" s="385"/>
      <c r="AA359" s="128"/>
    </row>
    <row r="360" spans="1:29" ht="18.75">
      <c r="A360" s="436" t="s">
        <v>716</v>
      </c>
      <c r="B360" s="429" t="s">
        <v>717</v>
      </c>
      <c r="C360" s="522"/>
      <c r="D360" s="522"/>
      <c r="E360" s="522">
        <v>341</v>
      </c>
      <c r="F360" s="522">
        <v>12</v>
      </c>
      <c r="G360" s="522" t="s">
        <v>192</v>
      </c>
      <c r="H360" s="523">
        <v>100</v>
      </c>
      <c r="I360" s="489">
        <v>49920000</v>
      </c>
      <c r="J360" s="474">
        <v>0</v>
      </c>
      <c r="K360" s="565"/>
      <c r="L360" s="521">
        <f t="shared" si="136"/>
        <v>0</v>
      </c>
      <c r="M360" s="521" t="e">
        <f t="shared" si="137"/>
        <v>#DIV/0!</v>
      </c>
    </row>
    <row r="361" spans="1:29" ht="37.5">
      <c r="A361" s="436" t="s">
        <v>718</v>
      </c>
      <c r="B361" s="429" t="s">
        <v>719</v>
      </c>
      <c r="C361" s="548">
        <v>1029495</v>
      </c>
      <c r="D361" s="548">
        <v>412</v>
      </c>
      <c r="E361" s="548"/>
      <c r="F361" s="548"/>
      <c r="G361" s="548"/>
      <c r="H361" s="549"/>
      <c r="I361" s="489">
        <v>69580000</v>
      </c>
      <c r="J361" s="474">
        <v>41679300</v>
      </c>
      <c r="K361" s="565"/>
      <c r="L361" s="521">
        <f t="shared" si="136"/>
        <v>59.901264731244609</v>
      </c>
      <c r="M361" s="521" t="e">
        <f t="shared" si="137"/>
        <v>#DIV/0!</v>
      </c>
    </row>
    <row r="362" spans="1:29" ht="18.75">
      <c r="A362" s="436"/>
      <c r="B362" s="626" t="s">
        <v>753</v>
      </c>
      <c r="C362" s="548"/>
      <c r="D362" s="548"/>
      <c r="E362" s="548"/>
      <c r="F362" s="548"/>
      <c r="G362" s="548"/>
      <c r="H362" s="549"/>
      <c r="I362" s="489">
        <v>92800000</v>
      </c>
      <c r="J362" s="474">
        <v>79455000</v>
      </c>
      <c r="K362" s="565"/>
      <c r="L362" s="521"/>
      <c r="M362" s="521"/>
    </row>
    <row r="363" spans="1:29" ht="18.75">
      <c r="A363" s="427">
        <v>4</v>
      </c>
      <c r="B363" s="428" t="s">
        <v>521</v>
      </c>
      <c r="C363" s="123">
        <v>1029495</v>
      </c>
      <c r="D363" s="123">
        <v>412</v>
      </c>
      <c r="E363" s="123">
        <v>340</v>
      </c>
      <c r="F363" s="123">
        <v>12</v>
      </c>
      <c r="G363" s="538" t="s">
        <v>176</v>
      </c>
      <c r="H363" s="269">
        <v>100</v>
      </c>
      <c r="I363" s="472">
        <f t="shared" ref="I363:K364" si="150">+I364</f>
        <v>120000000</v>
      </c>
      <c r="J363" s="472">
        <f t="shared" si="150"/>
        <v>5480000</v>
      </c>
      <c r="K363" s="558">
        <f t="shared" si="150"/>
        <v>86049000</v>
      </c>
      <c r="L363" s="520">
        <f t="shared" si="136"/>
        <v>4.5666666666666664</v>
      </c>
      <c r="M363" s="520">
        <f t="shared" si="137"/>
        <v>6.3684644795407266</v>
      </c>
    </row>
    <row r="364" spans="1:29" s="141" customFormat="1" ht="19.5" thickBot="1">
      <c r="A364" s="427"/>
      <c r="B364" s="428" t="s">
        <v>514</v>
      </c>
      <c r="C364" s="123"/>
      <c r="D364" s="123"/>
      <c r="E364" s="123"/>
      <c r="F364" s="123"/>
      <c r="G364" s="123"/>
      <c r="H364" s="269"/>
      <c r="I364" s="472">
        <f t="shared" si="150"/>
        <v>120000000</v>
      </c>
      <c r="J364" s="472">
        <f t="shared" si="150"/>
        <v>5480000</v>
      </c>
      <c r="K364" s="558">
        <f t="shared" si="150"/>
        <v>86049000</v>
      </c>
      <c r="L364" s="520">
        <f t="shared" si="136"/>
        <v>4.5666666666666664</v>
      </c>
      <c r="M364" s="520">
        <f t="shared" si="137"/>
        <v>6.3684644795407266</v>
      </c>
      <c r="R364" s="385"/>
      <c r="S364" s="385"/>
      <c r="AA364" s="128"/>
    </row>
    <row r="365" spans="1:29" s="141" customFormat="1" ht="38.25" thickBot="1">
      <c r="A365" s="427"/>
      <c r="B365" s="437" t="s">
        <v>522</v>
      </c>
      <c r="C365" s="123"/>
      <c r="D365" s="123"/>
      <c r="E365" s="123"/>
      <c r="F365" s="123"/>
      <c r="G365" s="522"/>
      <c r="H365" s="523"/>
      <c r="I365" s="495">
        <v>120000000</v>
      </c>
      <c r="J365" s="592">
        <v>5480000</v>
      </c>
      <c r="K365" s="565">
        <v>86049000</v>
      </c>
      <c r="L365" s="520">
        <f t="shared" si="136"/>
        <v>4.5666666666666664</v>
      </c>
      <c r="M365" s="520">
        <f t="shared" si="137"/>
        <v>6.3684644795407266</v>
      </c>
      <c r="R365" s="385"/>
      <c r="S365" s="385"/>
      <c r="AA365" s="128"/>
    </row>
    <row r="366" spans="1:29" ht="18.75">
      <c r="A366" s="432" t="s">
        <v>103</v>
      </c>
      <c r="B366" s="433" t="s">
        <v>307</v>
      </c>
      <c r="C366" s="522"/>
      <c r="D366" s="522"/>
      <c r="E366" s="522">
        <v>341</v>
      </c>
      <c r="F366" s="522">
        <v>12</v>
      </c>
      <c r="G366" s="522" t="s">
        <v>192</v>
      </c>
      <c r="H366" s="523">
        <v>100</v>
      </c>
      <c r="I366" s="486">
        <f t="shared" ref="I366:K366" si="151">I369+I367</f>
        <v>11027338526</v>
      </c>
      <c r="J366" s="486">
        <f t="shared" si="151"/>
        <v>2705074452</v>
      </c>
      <c r="K366" s="561">
        <f t="shared" si="151"/>
        <v>3425985383</v>
      </c>
      <c r="L366" s="520">
        <f t="shared" si="136"/>
        <v>24.530619474699531</v>
      </c>
      <c r="M366" s="520">
        <f t="shared" si="137"/>
        <v>78.95755963883515</v>
      </c>
      <c r="AA366" s="129">
        <v>10800338526</v>
      </c>
      <c r="AB366" s="129"/>
      <c r="AC366" s="129"/>
    </row>
    <row r="367" spans="1:29" ht="37.5">
      <c r="A367" s="427" t="s">
        <v>11</v>
      </c>
      <c r="B367" s="428" t="s">
        <v>720</v>
      </c>
      <c r="C367" s="548">
        <v>1029500</v>
      </c>
      <c r="D367" s="548">
        <v>412</v>
      </c>
      <c r="E367" s="548"/>
      <c r="F367" s="548"/>
      <c r="G367" s="548"/>
      <c r="H367" s="549"/>
      <c r="I367" s="494">
        <f t="shared" ref="I367:K367" si="152">+I368</f>
        <v>0</v>
      </c>
      <c r="J367" s="494">
        <f t="shared" si="152"/>
        <v>0</v>
      </c>
      <c r="K367" s="572">
        <f t="shared" si="152"/>
        <v>0</v>
      </c>
      <c r="L367" s="521" t="e">
        <f t="shared" si="136"/>
        <v>#DIV/0!</v>
      </c>
      <c r="M367" s="521" t="e">
        <f t="shared" si="137"/>
        <v>#DIV/0!</v>
      </c>
      <c r="AA367" s="129">
        <f>+AA366-I366</f>
        <v>-227000000</v>
      </c>
    </row>
    <row r="368" spans="1:29" ht="56.25">
      <c r="A368" s="436"/>
      <c r="B368" s="438" t="s">
        <v>721</v>
      </c>
      <c r="C368" s="123">
        <v>1029500</v>
      </c>
      <c r="D368" s="123">
        <v>412</v>
      </c>
      <c r="E368" s="123">
        <v>340</v>
      </c>
      <c r="F368" s="123">
        <v>12</v>
      </c>
      <c r="G368" s="538" t="s">
        <v>176</v>
      </c>
      <c r="H368" s="269">
        <v>100</v>
      </c>
      <c r="I368" s="476">
        <v>0</v>
      </c>
      <c r="J368" s="474"/>
      <c r="K368" s="565"/>
      <c r="L368" s="521" t="e">
        <f t="shared" si="136"/>
        <v>#DIV/0!</v>
      </c>
      <c r="M368" s="521" t="e">
        <f t="shared" si="137"/>
        <v>#DIV/0!</v>
      </c>
    </row>
    <row r="369" spans="1:27" s="141" customFormat="1" ht="18.75">
      <c r="A369" s="427" t="s">
        <v>217</v>
      </c>
      <c r="B369" s="428" t="s">
        <v>34</v>
      </c>
      <c r="C369" s="123"/>
      <c r="D369" s="123"/>
      <c r="E369" s="123"/>
      <c r="F369" s="123"/>
      <c r="G369" s="123"/>
      <c r="H369" s="269"/>
      <c r="I369" s="472">
        <f>+I370+I380+I396</f>
        <v>11027338526</v>
      </c>
      <c r="J369" s="472">
        <f>+J370+J380+J396</f>
        <v>2705074452</v>
      </c>
      <c r="K369" s="558">
        <f>+K370+K380+K396</f>
        <v>3425985383</v>
      </c>
      <c r="L369" s="520">
        <f t="shared" si="136"/>
        <v>24.530619474699531</v>
      </c>
      <c r="M369" s="520">
        <f t="shared" si="137"/>
        <v>78.95755963883515</v>
      </c>
      <c r="R369" s="385"/>
      <c r="S369" s="385"/>
    </row>
    <row r="370" spans="1:27" s="141" customFormat="1" ht="18.75">
      <c r="A370" s="427">
        <v>1</v>
      </c>
      <c r="B370" s="420" t="s">
        <v>7</v>
      </c>
      <c r="C370" s="123"/>
      <c r="D370" s="123"/>
      <c r="E370" s="123"/>
      <c r="F370" s="123"/>
      <c r="G370" s="522"/>
      <c r="H370" s="519"/>
      <c r="I370" s="488">
        <f t="shared" ref="I370:K370" si="153">I371+I377</f>
        <v>6006290526</v>
      </c>
      <c r="J370" s="488">
        <f t="shared" si="153"/>
        <v>1625185306</v>
      </c>
      <c r="K370" s="563">
        <f t="shared" si="153"/>
        <v>1719627440</v>
      </c>
      <c r="L370" s="520">
        <f t="shared" si="136"/>
        <v>27.058053535121324</v>
      </c>
      <c r="M370" s="520">
        <f t="shared" si="137"/>
        <v>94.507988660613606</v>
      </c>
      <c r="R370" s="385"/>
      <c r="S370" s="385"/>
    </row>
    <row r="371" spans="1:27" ht="18.75">
      <c r="A371" s="427" t="s">
        <v>8</v>
      </c>
      <c r="B371" s="420" t="s">
        <v>74</v>
      </c>
      <c r="C371" s="403"/>
      <c r="D371" s="403"/>
      <c r="E371" s="403">
        <v>341</v>
      </c>
      <c r="F371" s="403">
        <v>12</v>
      </c>
      <c r="G371" s="522" t="s">
        <v>192</v>
      </c>
      <c r="H371" s="519">
        <v>100</v>
      </c>
      <c r="I371" s="488">
        <f t="shared" ref="I371:K371" si="154">I372+I376</f>
        <v>6006290526</v>
      </c>
      <c r="J371" s="488">
        <f t="shared" si="154"/>
        <v>1625185306</v>
      </c>
      <c r="K371" s="563">
        <f t="shared" si="154"/>
        <v>1524469635</v>
      </c>
      <c r="L371" s="520">
        <f t="shared" si="136"/>
        <v>27.058053535121324</v>
      </c>
      <c r="M371" s="520">
        <f t="shared" si="137"/>
        <v>106.60660394196699</v>
      </c>
    </row>
    <row r="372" spans="1:27" ht="18.75">
      <c r="A372" s="436" t="s">
        <v>14</v>
      </c>
      <c r="B372" s="437" t="s">
        <v>524</v>
      </c>
      <c r="C372" s="548">
        <v>1030351</v>
      </c>
      <c r="D372" s="548">
        <v>412</v>
      </c>
      <c r="E372" s="548"/>
      <c r="F372" s="548"/>
      <c r="G372" s="548"/>
      <c r="H372" s="549"/>
      <c r="I372" s="489">
        <f>I373+I375+I374</f>
        <v>5850290526</v>
      </c>
      <c r="J372" s="489">
        <f t="shared" ref="J372:K372" si="155">J373+J375+J374</f>
        <v>1591403116</v>
      </c>
      <c r="K372" s="489">
        <f t="shared" si="155"/>
        <v>1418357755</v>
      </c>
      <c r="L372" s="520">
        <f t="shared" si="136"/>
        <v>27.202121141291162</v>
      </c>
      <c r="M372" s="520">
        <f t="shared" si="137"/>
        <v>112.200402923027</v>
      </c>
    </row>
    <row r="373" spans="1:27" ht="18.75">
      <c r="A373" s="436"/>
      <c r="B373" s="438" t="s">
        <v>536</v>
      </c>
      <c r="C373" s="123">
        <v>1030351</v>
      </c>
      <c r="D373" s="123">
        <v>412</v>
      </c>
      <c r="E373" s="123">
        <v>340</v>
      </c>
      <c r="F373" s="123">
        <v>12</v>
      </c>
      <c r="G373" s="538" t="s">
        <v>176</v>
      </c>
      <c r="H373" s="269">
        <v>100</v>
      </c>
      <c r="I373" s="595">
        <f>3482000000+724000000</f>
        <v>4206000000</v>
      </c>
      <c r="J373" s="474">
        <f>735006639+154516281</f>
        <v>889522920</v>
      </c>
      <c r="K373" s="565">
        <v>1164069834</v>
      </c>
      <c r="L373" s="520">
        <f t="shared" si="136"/>
        <v>21.148904422253921</v>
      </c>
      <c r="M373" s="520">
        <f t="shared" si="137"/>
        <v>76.414910344631437</v>
      </c>
    </row>
    <row r="374" spans="1:27" ht="18.75">
      <c r="A374" s="436"/>
      <c r="B374" s="613" t="s">
        <v>754</v>
      </c>
      <c r="C374" s="611"/>
      <c r="D374" s="611"/>
      <c r="E374" s="611"/>
      <c r="F374" s="611"/>
      <c r="G374" s="538"/>
      <c r="H374" s="610"/>
      <c r="I374" s="595">
        <f>595850000+9440526</f>
        <v>605290526</v>
      </c>
      <c r="J374" s="474">
        <v>557728796</v>
      </c>
      <c r="K374" s="565"/>
      <c r="L374" s="520"/>
      <c r="M374" s="520"/>
    </row>
    <row r="375" spans="1:27" s="141" customFormat="1" ht="18.75">
      <c r="A375" s="436"/>
      <c r="B375" s="438" t="s">
        <v>10</v>
      </c>
      <c r="C375" s="123"/>
      <c r="D375" s="123"/>
      <c r="E375" s="123"/>
      <c r="F375" s="123"/>
      <c r="G375" s="123"/>
      <c r="H375" s="269"/>
      <c r="I375" s="489">
        <v>1039000000</v>
      </c>
      <c r="J375" s="474">
        <v>144151400</v>
      </c>
      <c r="K375" s="565">
        <v>254287921</v>
      </c>
      <c r="L375" s="520">
        <f t="shared" si="136"/>
        <v>13.87405197305101</v>
      </c>
      <c r="M375" s="520">
        <f t="shared" si="137"/>
        <v>56.688260863165418</v>
      </c>
      <c r="R375" s="385"/>
      <c r="S375" s="385"/>
      <c r="AA375" s="128"/>
    </row>
    <row r="376" spans="1:27" s="141" customFormat="1" ht="37.5">
      <c r="A376" s="436" t="s">
        <v>15</v>
      </c>
      <c r="B376" s="437" t="s">
        <v>352</v>
      </c>
      <c r="C376" s="123"/>
      <c r="D376" s="123"/>
      <c r="E376" s="123"/>
      <c r="F376" s="123"/>
      <c r="G376" s="522"/>
      <c r="H376" s="523"/>
      <c r="I376" s="489">
        <v>156000000</v>
      </c>
      <c r="J376" s="474">
        <v>33782190</v>
      </c>
      <c r="K376" s="565">
        <v>106111880</v>
      </c>
      <c r="L376" s="520">
        <f t="shared" si="136"/>
        <v>21.655250000000002</v>
      </c>
      <c r="M376" s="520">
        <f t="shared" si="137"/>
        <v>31.836388159365381</v>
      </c>
      <c r="R376" s="385"/>
      <c r="S376" s="385"/>
      <c r="AA376" s="128"/>
    </row>
    <row r="377" spans="1:27" ht="18.75">
      <c r="A377" s="427" t="s">
        <v>9</v>
      </c>
      <c r="B377" s="420" t="s">
        <v>69</v>
      </c>
      <c r="C377" s="522"/>
      <c r="D377" s="522"/>
      <c r="E377" s="522">
        <v>341</v>
      </c>
      <c r="F377" s="522">
        <v>12</v>
      </c>
      <c r="G377" s="522" t="s">
        <v>192</v>
      </c>
      <c r="H377" s="523">
        <v>100</v>
      </c>
      <c r="I377" s="472">
        <f>SUM(I378:I379)</f>
        <v>0</v>
      </c>
      <c r="J377" s="472">
        <f t="shared" ref="J377:K377" si="156">SUM(J378:J379)</f>
        <v>0</v>
      </c>
      <c r="K377" s="472">
        <f t="shared" si="156"/>
        <v>195157805</v>
      </c>
      <c r="L377" s="521" t="e">
        <f t="shared" si="136"/>
        <v>#DIV/0!</v>
      </c>
      <c r="M377" s="521">
        <f t="shared" si="137"/>
        <v>0</v>
      </c>
    </row>
    <row r="378" spans="1:27" s="145" customFormat="1" ht="37.5">
      <c r="A378" s="427"/>
      <c r="B378" s="437" t="s">
        <v>523</v>
      </c>
      <c r="C378" s="538"/>
      <c r="D378" s="538"/>
      <c r="E378" s="538"/>
      <c r="F378" s="538"/>
      <c r="G378" s="538"/>
      <c r="H378" s="539"/>
      <c r="I378" s="591">
        <f>733440526-724000000-9440526</f>
        <v>0</v>
      </c>
      <c r="J378" s="175"/>
      <c r="K378" s="175">
        <v>19538331</v>
      </c>
      <c r="L378" s="521" t="e">
        <f t="shared" si="136"/>
        <v>#DIV/0!</v>
      </c>
      <c r="M378" s="521">
        <f t="shared" si="137"/>
        <v>0</v>
      </c>
      <c r="R378" s="386"/>
      <c r="S378" s="386"/>
      <c r="AA378" s="128"/>
    </row>
    <row r="379" spans="1:27" s="145" customFormat="1" ht="33">
      <c r="A379" s="427"/>
      <c r="B379" s="156" t="s">
        <v>774</v>
      </c>
      <c r="C379" s="538"/>
      <c r="D379" s="538"/>
      <c r="E379" s="538"/>
      <c r="F379" s="538"/>
      <c r="G379" s="538"/>
      <c r="H379" s="539"/>
      <c r="I379" s="591"/>
      <c r="J379" s="175"/>
      <c r="K379" s="175">
        <v>175619474</v>
      </c>
      <c r="L379" s="521"/>
      <c r="M379" s="521"/>
      <c r="R379" s="386"/>
      <c r="S379" s="386"/>
      <c r="AA379" s="128"/>
    </row>
    <row r="380" spans="1:27" ht="26.45" customHeight="1">
      <c r="A380" s="427">
        <v>2</v>
      </c>
      <c r="B380" s="420" t="s">
        <v>461</v>
      </c>
      <c r="C380" s="522"/>
      <c r="D380" s="522"/>
      <c r="E380" s="522"/>
      <c r="F380" s="522"/>
      <c r="G380" s="522"/>
      <c r="H380" s="523"/>
      <c r="I380" s="488">
        <f>+I381+I382+I392+I394</f>
        <v>4990948000</v>
      </c>
      <c r="J380" s="488">
        <f>+J381+J382+J392+J394</f>
        <v>1079889146</v>
      </c>
      <c r="K380" s="563">
        <f>+K381+K382+K392+K394</f>
        <v>1706357943</v>
      </c>
      <c r="L380" s="520">
        <f t="shared" si="136"/>
        <v>21.636954462358656</v>
      </c>
      <c r="M380" s="520">
        <f t="shared" si="137"/>
        <v>63.28620266515793</v>
      </c>
    </row>
    <row r="381" spans="1:27" ht="18.75">
      <c r="A381" s="436" t="s">
        <v>12</v>
      </c>
      <c r="B381" s="440" t="s">
        <v>321</v>
      </c>
      <c r="C381" s="548">
        <v>1110440</v>
      </c>
      <c r="D381" s="548">
        <v>412</v>
      </c>
      <c r="E381" s="548"/>
      <c r="F381" s="548"/>
      <c r="G381" s="548"/>
      <c r="H381" s="549"/>
      <c r="I381" s="474">
        <v>60000000</v>
      </c>
      <c r="J381" s="474"/>
      <c r="K381" s="565"/>
      <c r="L381" s="520">
        <f t="shared" si="136"/>
        <v>0</v>
      </c>
      <c r="M381" s="520" t="e">
        <f t="shared" si="137"/>
        <v>#DIV/0!</v>
      </c>
    </row>
    <row r="382" spans="1:27" ht="18.75">
      <c r="A382" s="436" t="s">
        <v>13</v>
      </c>
      <c r="B382" s="440" t="s">
        <v>473</v>
      </c>
      <c r="C382" s="123">
        <v>1110440</v>
      </c>
      <c r="D382" s="123">
        <v>412</v>
      </c>
      <c r="E382" s="123">
        <v>340</v>
      </c>
      <c r="F382" s="123">
        <v>12</v>
      </c>
      <c r="G382" s="538" t="s">
        <v>176</v>
      </c>
      <c r="H382" s="269">
        <v>100</v>
      </c>
      <c r="I382" s="489">
        <f>+I383+I384+I385+I390+I391</f>
        <v>4930948000</v>
      </c>
      <c r="J382" s="489">
        <f>+J383+J384+J385+J390+J391</f>
        <v>1079889146</v>
      </c>
      <c r="K382" s="564">
        <f>+K383+K384+K385+K390+K391</f>
        <v>1505006360</v>
      </c>
      <c r="L382" s="520">
        <f t="shared" si="136"/>
        <v>21.900233910396135</v>
      </c>
      <c r="M382" s="520">
        <f t="shared" si="137"/>
        <v>71.753128405384274</v>
      </c>
    </row>
    <row r="383" spans="1:27" s="141" customFormat="1" ht="18.75">
      <c r="A383" s="436" t="s">
        <v>14</v>
      </c>
      <c r="B383" s="440" t="s">
        <v>322</v>
      </c>
      <c r="C383" s="123"/>
      <c r="D383" s="123"/>
      <c r="E383" s="123"/>
      <c r="F383" s="123"/>
      <c r="G383" s="123"/>
      <c r="H383" s="269"/>
      <c r="I383" s="490">
        <v>30000000</v>
      </c>
      <c r="J383" s="474">
        <v>4195000</v>
      </c>
      <c r="K383" s="565">
        <v>10225600</v>
      </c>
      <c r="L383" s="520">
        <f t="shared" si="136"/>
        <v>13.983333333333334</v>
      </c>
      <c r="M383" s="520">
        <f t="shared" si="137"/>
        <v>41.024487560632139</v>
      </c>
      <c r="R383" s="385"/>
      <c r="S383" s="385"/>
      <c r="AA383" s="128"/>
    </row>
    <row r="384" spans="1:27" s="141" customFormat="1" ht="18.75">
      <c r="A384" s="436" t="s">
        <v>15</v>
      </c>
      <c r="B384" s="429" t="s">
        <v>323</v>
      </c>
      <c r="C384" s="123"/>
      <c r="D384" s="123"/>
      <c r="E384" s="522"/>
      <c r="F384" s="522"/>
      <c r="G384" s="522"/>
      <c r="H384" s="523"/>
      <c r="I384" s="600">
        <f>3960000000-809500000-90500000</f>
        <v>3060000000</v>
      </c>
      <c r="J384" s="474">
        <v>493310700</v>
      </c>
      <c r="K384" s="565">
        <v>1124044700</v>
      </c>
      <c r="L384" s="520">
        <f t="shared" ref="L384:L454" si="157">+J384/I384*100</f>
        <v>16.12126470588235</v>
      </c>
      <c r="M384" s="520">
        <f t="shared" ref="M384:M454" si="158">+J384/K384*100</f>
        <v>43.88710698070993</v>
      </c>
      <c r="R384" s="385"/>
      <c r="S384" s="385"/>
      <c r="AA384" s="128"/>
    </row>
    <row r="385" spans="1:29" ht="18.75">
      <c r="A385" s="436" t="s">
        <v>24</v>
      </c>
      <c r="B385" s="429" t="s">
        <v>324</v>
      </c>
      <c r="C385" s="522"/>
      <c r="D385" s="522"/>
      <c r="E385" s="522">
        <v>341</v>
      </c>
      <c r="F385" s="522">
        <v>12</v>
      </c>
      <c r="G385" s="522" t="s">
        <v>192</v>
      </c>
      <c r="H385" s="523">
        <v>100</v>
      </c>
      <c r="I385" s="489">
        <f>SUM(I386:I389)</f>
        <v>1738500000</v>
      </c>
      <c r="J385" s="489">
        <f t="shared" ref="J385:K385" si="159">SUM(J386:J389)</f>
        <v>525012200</v>
      </c>
      <c r="K385" s="489">
        <f t="shared" si="159"/>
        <v>336863960</v>
      </c>
      <c r="L385" s="520">
        <f t="shared" si="157"/>
        <v>30.199148691400634</v>
      </c>
      <c r="M385" s="520">
        <f t="shared" si="158"/>
        <v>155.85288494500867</v>
      </c>
    </row>
    <row r="386" spans="1:29" s="171" customFormat="1" ht="18.75">
      <c r="A386" s="436"/>
      <c r="B386" s="455" t="s">
        <v>325</v>
      </c>
      <c r="C386" s="546"/>
      <c r="D386" s="546"/>
      <c r="E386" s="546"/>
      <c r="F386" s="546"/>
      <c r="G386" s="546"/>
      <c r="H386" s="547"/>
      <c r="I386" s="596">
        <f>610000000+90500000</f>
        <v>700500000</v>
      </c>
      <c r="J386" s="474">
        <v>197964000</v>
      </c>
      <c r="K386" s="565">
        <v>152280000</v>
      </c>
      <c r="L386" s="520">
        <f t="shared" si="157"/>
        <v>28.260385438972165</v>
      </c>
      <c r="M386" s="520">
        <f t="shared" si="158"/>
        <v>130</v>
      </c>
      <c r="R386" s="391"/>
      <c r="S386" s="391"/>
      <c r="AA386" s="128"/>
    </row>
    <row r="387" spans="1:29" ht="18.75">
      <c r="A387" s="436"/>
      <c r="B387" s="455" t="s">
        <v>326</v>
      </c>
      <c r="C387" s="123">
        <v>1030702</v>
      </c>
      <c r="D387" s="123">
        <v>412</v>
      </c>
      <c r="E387" s="123"/>
      <c r="F387" s="123"/>
      <c r="G387" s="123"/>
      <c r="H387" s="269"/>
      <c r="I387" s="475">
        <v>198000000</v>
      </c>
      <c r="J387" s="474">
        <v>6439000</v>
      </c>
      <c r="K387" s="565">
        <v>83679000</v>
      </c>
      <c r="L387" s="520">
        <f t="shared" si="157"/>
        <v>3.2520202020202018</v>
      </c>
      <c r="M387" s="520">
        <f t="shared" si="158"/>
        <v>7.694881630994634</v>
      </c>
    </row>
    <row r="388" spans="1:29" ht="18.75">
      <c r="A388" s="436"/>
      <c r="B388" s="455" t="s">
        <v>327</v>
      </c>
      <c r="C388" s="123">
        <v>1030702</v>
      </c>
      <c r="D388" s="123">
        <v>412</v>
      </c>
      <c r="E388" s="123">
        <v>280</v>
      </c>
      <c r="F388" s="123">
        <v>12</v>
      </c>
      <c r="G388" s="538" t="s">
        <v>343</v>
      </c>
      <c r="H388" s="269">
        <v>100</v>
      </c>
      <c r="I388" s="475">
        <v>664000000</v>
      </c>
      <c r="J388" s="474">
        <v>234241600</v>
      </c>
      <c r="K388" s="565">
        <v>100094960</v>
      </c>
      <c r="L388" s="520">
        <f t="shared" si="157"/>
        <v>35.277349397590363</v>
      </c>
      <c r="M388" s="520">
        <f t="shared" si="158"/>
        <v>234.01937520130883</v>
      </c>
    </row>
    <row r="389" spans="1:29" s="141" customFormat="1" ht="18.75">
      <c r="A389" s="436"/>
      <c r="B389" s="455" t="s">
        <v>328</v>
      </c>
      <c r="C389" s="123"/>
      <c r="D389" s="123"/>
      <c r="E389" s="123"/>
      <c r="F389" s="123"/>
      <c r="G389" s="123"/>
      <c r="H389" s="269"/>
      <c r="I389" s="475">
        <v>176000000</v>
      </c>
      <c r="J389" s="474">
        <v>86367600</v>
      </c>
      <c r="K389" s="565">
        <v>810000</v>
      </c>
      <c r="L389" s="520">
        <f t="shared" si="157"/>
        <v>49.072500000000005</v>
      </c>
      <c r="M389" s="520">
        <f t="shared" si="158"/>
        <v>10662.666666666666</v>
      </c>
      <c r="R389" s="385"/>
      <c r="S389" s="385"/>
      <c r="AA389" s="128"/>
    </row>
    <row r="390" spans="1:29" ht="37.5">
      <c r="A390" s="436" t="s">
        <v>313</v>
      </c>
      <c r="B390" s="438" t="s">
        <v>722</v>
      </c>
      <c r="C390" s="522"/>
      <c r="D390" s="522"/>
      <c r="E390" s="522">
        <v>282</v>
      </c>
      <c r="F390" s="522">
        <v>12</v>
      </c>
      <c r="G390" s="522" t="s">
        <v>344</v>
      </c>
      <c r="H390" s="523">
        <v>100</v>
      </c>
      <c r="I390" s="627">
        <v>52768000</v>
      </c>
      <c r="J390" s="474">
        <v>23785496</v>
      </c>
      <c r="K390" s="565"/>
      <c r="L390" s="520">
        <f t="shared" si="157"/>
        <v>45.075606428138265</v>
      </c>
      <c r="M390" s="521" t="e">
        <f t="shared" si="158"/>
        <v>#DIV/0!</v>
      </c>
    </row>
    <row r="391" spans="1:29" ht="18.75">
      <c r="A391" s="436" t="s">
        <v>314</v>
      </c>
      <c r="B391" s="438" t="s">
        <v>723</v>
      </c>
      <c r="C391" s="552"/>
      <c r="D391" s="552"/>
      <c r="E391" s="552"/>
      <c r="F391" s="552"/>
      <c r="G391" s="552"/>
      <c r="H391" s="553"/>
      <c r="I391" s="628">
        <v>49680000</v>
      </c>
      <c r="J391" s="474">
        <v>33585750</v>
      </c>
      <c r="K391" s="565">
        <v>33872100</v>
      </c>
      <c r="L391" s="521">
        <f t="shared" si="157"/>
        <v>67.604166666666671</v>
      </c>
      <c r="M391" s="521">
        <f t="shared" si="158"/>
        <v>99.154613974332861</v>
      </c>
    </row>
    <row r="392" spans="1:29" ht="21.75" customHeight="1">
      <c r="A392" s="427" t="s">
        <v>16</v>
      </c>
      <c r="B392" s="453" t="s">
        <v>70</v>
      </c>
      <c r="C392" s="123">
        <v>1110440</v>
      </c>
      <c r="D392" s="123">
        <v>412</v>
      </c>
      <c r="E392" s="522"/>
      <c r="F392" s="522"/>
      <c r="G392" s="522"/>
      <c r="H392" s="523"/>
      <c r="I392" s="472">
        <f t="shared" ref="I392:K392" si="160">+I393</f>
        <v>0</v>
      </c>
      <c r="J392" s="472">
        <f t="shared" si="160"/>
        <v>0</v>
      </c>
      <c r="K392" s="558">
        <f t="shared" si="160"/>
        <v>140729583</v>
      </c>
      <c r="L392" s="521" t="e">
        <f t="shared" si="157"/>
        <v>#DIV/0!</v>
      </c>
      <c r="M392" s="521">
        <f t="shared" si="158"/>
        <v>0</v>
      </c>
    </row>
    <row r="393" spans="1:29" ht="37.5">
      <c r="A393" s="436"/>
      <c r="B393" s="455" t="s">
        <v>724</v>
      </c>
      <c r="C393" s="123">
        <v>1110440</v>
      </c>
      <c r="D393" s="123">
        <v>412</v>
      </c>
      <c r="E393" s="538">
        <v>280</v>
      </c>
      <c r="F393" s="522"/>
      <c r="G393" s="522"/>
      <c r="H393" s="523"/>
      <c r="I393" s="493">
        <v>0</v>
      </c>
      <c r="J393" s="474"/>
      <c r="K393" s="565">
        <v>140729583</v>
      </c>
      <c r="L393" s="521" t="e">
        <f t="shared" si="157"/>
        <v>#DIV/0!</v>
      </c>
      <c r="M393" s="521">
        <f t="shared" si="158"/>
        <v>0</v>
      </c>
    </row>
    <row r="394" spans="1:29" ht="19.5">
      <c r="A394" s="427" t="s">
        <v>26</v>
      </c>
      <c r="B394" s="456" t="s">
        <v>687</v>
      </c>
      <c r="C394" s="522"/>
      <c r="D394" s="522"/>
      <c r="E394" s="522">
        <v>283</v>
      </c>
      <c r="F394" s="522"/>
      <c r="G394" s="522"/>
      <c r="H394" s="523"/>
      <c r="I394" s="472">
        <f t="shared" ref="I394:K394" si="161">+I395</f>
        <v>0</v>
      </c>
      <c r="J394" s="472">
        <f t="shared" si="161"/>
        <v>0</v>
      </c>
      <c r="K394" s="558">
        <f t="shared" si="161"/>
        <v>60622000</v>
      </c>
      <c r="L394" s="521" t="e">
        <f t="shared" si="157"/>
        <v>#DIV/0!</v>
      </c>
      <c r="M394" s="521">
        <f t="shared" si="158"/>
        <v>0</v>
      </c>
    </row>
    <row r="395" spans="1:29" ht="47.25" customHeight="1">
      <c r="A395" s="436"/>
      <c r="B395" s="455" t="s">
        <v>725</v>
      </c>
      <c r="C395" s="522"/>
      <c r="D395" s="522"/>
      <c r="E395" s="522"/>
      <c r="F395" s="522"/>
      <c r="G395" s="522"/>
      <c r="H395" s="523"/>
      <c r="I395" s="490">
        <v>0</v>
      </c>
      <c r="J395" s="474"/>
      <c r="K395" s="565">
        <v>60622000</v>
      </c>
      <c r="L395" s="521" t="e">
        <f t="shared" si="157"/>
        <v>#DIV/0!</v>
      </c>
      <c r="M395" s="521">
        <f t="shared" si="158"/>
        <v>0</v>
      </c>
    </row>
    <row r="396" spans="1:29" ht="18.75">
      <c r="A396" s="427">
        <v>3</v>
      </c>
      <c r="B396" s="420" t="s">
        <v>537</v>
      </c>
      <c r="C396" s="405"/>
      <c r="D396" s="405"/>
      <c r="E396" s="405"/>
      <c r="F396" s="405"/>
      <c r="G396" s="405"/>
      <c r="H396" s="554"/>
      <c r="I396" s="477">
        <f t="shared" ref="I396:K396" si="162">SUM(I397:I398)</f>
        <v>30100000</v>
      </c>
      <c r="J396" s="477">
        <f t="shared" si="162"/>
        <v>0</v>
      </c>
      <c r="K396" s="555">
        <f t="shared" si="162"/>
        <v>0</v>
      </c>
      <c r="L396" s="520">
        <f t="shared" si="157"/>
        <v>0</v>
      </c>
      <c r="M396" s="520" t="e">
        <f t="shared" si="158"/>
        <v>#DIV/0!</v>
      </c>
    </row>
    <row r="397" spans="1:29" ht="18.75">
      <c r="A397" s="436"/>
      <c r="B397" s="438" t="s">
        <v>549</v>
      </c>
      <c r="C397" s="405"/>
      <c r="D397" s="405"/>
      <c r="E397" s="405"/>
      <c r="F397" s="405"/>
      <c r="G397" s="405"/>
      <c r="H397" s="554"/>
      <c r="I397" s="490">
        <v>25200000</v>
      </c>
      <c r="J397" s="474"/>
      <c r="K397" s="565"/>
      <c r="L397" s="520">
        <f t="shared" si="157"/>
        <v>0</v>
      </c>
      <c r="M397" s="520" t="e">
        <f t="shared" si="158"/>
        <v>#DIV/0!</v>
      </c>
    </row>
    <row r="398" spans="1:29" ht="37.5">
      <c r="A398" s="436"/>
      <c r="B398" s="438" t="s">
        <v>550</v>
      </c>
      <c r="C398" s="405"/>
      <c r="D398" s="405"/>
      <c r="E398" s="405"/>
      <c r="F398" s="405"/>
      <c r="G398" s="405"/>
      <c r="H398" s="554"/>
      <c r="I398" s="495">
        <v>4900000</v>
      </c>
      <c r="J398" s="474"/>
      <c r="K398" s="565"/>
      <c r="L398" s="520">
        <f t="shared" si="157"/>
        <v>0</v>
      </c>
      <c r="M398" s="520" t="e">
        <f t="shared" si="158"/>
        <v>#DIV/0!</v>
      </c>
    </row>
    <row r="399" spans="1:29" ht="18.75">
      <c r="A399" s="432" t="s">
        <v>104</v>
      </c>
      <c r="B399" s="433" t="s">
        <v>309</v>
      </c>
      <c r="C399" s="405"/>
      <c r="D399" s="405"/>
      <c r="E399" s="405"/>
      <c r="F399" s="405"/>
      <c r="G399" s="405"/>
      <c r="H399" s="554"/>
      <c r="I399" s="486">
        <f t="shared" ref="I399:K399" si="163">I400</f>
        <v>10240535545</v>
      </c>
      <c r="J399" s="486">
        <f t="shared" si="163"/>
        <v>8082970850</v>
      </c>
      <c r="K399" s="561">
        <f t="shared" si="163"/>
        <v>1028045872</v>
      </c>
      <c r="L399" s="520">
        <f t="shared" si="157"/>
        <v>78.93113416267137</v>
      </c>
      <c r="M399" s="520">
        <f t="shared" si="158"/>
        <v>786.24612676816423</v>
      </c>
      <c r="AA399" s="129">
        <v>10226535545</v>
      </c>
      <c r="AB399" s="129"/>
      <c r="AC399" s="129"/>
    </row>
    <row r="400" spans="1:29" ht="18.75">
      <c r="A400" s="427" t="s">
        <v>11</v>
      </c>
      <c r="B400" s="428" t="s">
        <v>474</v>
      </c>
      <c r="C400" s="405"/>
      <c r="D400" s="405"/>
      <c r="E400" s="405"/>
      <c r="F400" s="405"/>
      <c r="G400" s="405"/>
      <c r="H400" s="554"/>
      <c r="I400" s="472">
        <f t="shared" ref="I400:K400" si="164">I401+I410+I418</f>
        <v>10240535545</v>
      </c>
      <c r="J400" s="472">
        <f t="shared" si="164"/>
        <v>8082970850</v>
      </c>
      <c r="K400" s="558">
        <f t="shared" si="164"/>
        <v>1028045872</v>
      </c>
      <c r="L400" s="520">
        <f t="shared" si="157"/>
        <v>78.93113416267137</v>
      </c>
      <c r="M400" s="520">
        <f t="shared" si="158"/>
        <v>786.24612676816423</v>
      </c>
      <c r="AA400" s="129">
        <f>+AA399-I399</f>
        <v>-14000000</v>
      </c>
    </row>
    <row r="401" spans="1:27" ht="18.75">
      <c r="A401" s="427">
        <v>1</v>
      </c>
      <c r="B401" s="420" t="s">
        <v>7</v>
      </c>
      <c r="C401" s="405"/>
      <c r="D401" s="405"/>
      <c r="E401" s="405"/>
      <c r="F401" s="405"/>
      <c r="G401" s="405"/>
      <c r="H401" s="554"/>
      <c r="I401" s="488">
        <f t="shared" ref="I401:K401" si="165">I402+I408</f>
        <v>4289035545</v>
      </c>
      <c r="J401" s="488">
        <f t="shared" si="165"/>
        <v>3938377010</v>
      </c>
      <c r="K401" s="563">
        <f t="shared" si="165"/>
        <v>799385872</v>
      </c>
      <c r="L401" s="520">
        <f t="shared" si="157"/>
        <v>91.824303358623709</v>
      </c>
      <c r="M401" s="520">
        <f t="shared" si="158"/>
        <v>492.67533339643512</v>
      </c>
    </row>
    <row r="402" spans="1:27" ht="19.5">
      <c r="A402" s="434" t="s">
        <v>8</v>
      </c>
      <c r="B402" s="435" t="s">
        <v>74</v>
      </c>
      <c r="C402" s="405"/>
      <c r="D402" s="405"/>
      <c r="E402" s="405"/>
      <c r="F402" s="405"/>
      <c r="G402" s="405"/>
      <c r="H402" s="554"/>
      <c r="I402" s="487">
        <f t="shared" ref="I402:K402" si="166">I403+I407</f>
        <v>4289035545</v>
      </c>
      <c r="J402" s="487">
        <f t="shared" si="166"/>
        <v>3938377010</v>
      </c>
      <c r="K402" s="562">
        <f t="shared" si="166"/>
        <v>799385872</v>
      </c>
      <c r="L402" s="520">
        <f t="shared" si="157"/>
        <v>91.824303358623709</v>
      </c>
      <c r="M402" s="520">
        <f t="shared" si="158"/>
        <v>492.67533339643512</v>
      </c>
    </row>
    <row r="403" spans="1:27" ht="18.75">
      <c r="A403" s="436" t="s">
        <v>14</v>
      </c>
      <c r="B403" s="437" t="s">
        <v>524</v>
      </c>
      <c r="C403" s="405"/>
      <c r="D403" s="405"/>
      <c r="E403" s="405"/>
      <c r="F403" s="405"/>
      <c r="G403" s="405"/>
      <c r="H403" s="554"/>
      <c r="I403" s="489">
        <f>I404+I406+I405</f>
        <v>4063035545</v>
      </c>
      <c r="J403" s="489">
        <f t="shared" ref="J403:K403" si="167">J404+J406+J405</f>
        <v>3750756945</v>
      </c>
      <c r="K403" s="489">
        <f t="shared" si="167"/>
        <v>764279872</v>
      </c>
      <c r="L403" s="520">
        <f t="shared" si="157"/>
        <v>92.314155351550099</v>
      </c>
      <c r="M403" s="520">
        <f t="shared" si="158"/>
        <v>490.75699654170666</v>
      </c>
      <c r="AA403" s="129">
        <f>+I399+10861000000</f>
        <v>21101535545</v>
      </c>
    </row>
    <row r="404" spans="1:27" ht="18.75">
      <c r="A404" s="436"/>
      <c r="B404" s="438" t="s">
        <v>449</v>
      </c>
      <c r="C404" s="405"/>
      <c r="D404" s="405"/>
      <c r="E404" s="405"/>
      <c r="F404" s="405"/>
      <c r="G404" s="405"/>
      <c r="H404" s="554"/>
      <c r="I404" s="598">
        <f>2433000000+506000000</f>
        <v>2939000000</v>
      </c>
      <c r="J404" s="474">
        <v>2905010542</v>
      </c>
      <c r="K404" s="565">
        <v>659694678</v>
      </c>
      <c r="L404" s="520">
        <f t="shared" si="157"/>
        <v>98.843502619938747</v>
      </c>
      <c r="M404" s="520">
        <f t="shared" si="158"/>
        <v>440.35682549496028</v>
      </c>
    </row>
    <row r="405" spans="1:27" ht="18.75">
      <c r="A405" s="436"/>
      <c r="B405" s="613" t="s">
        <v>755</v>
      </c>
      <c r="C405" s="405"/>
      <c r="D405" s="405"/>
      <c r="E405" s="405"/>
      <c r="F405" s="405"/>
      <c r="G405" s="405"/>
      <c r="H405" s="554"/>
      <c r="I405" s="598">
        <f>428608000+5427545</f>
        <v>434035545</v>
      </c>
      <c r="J405" s="474">
        <v>423088546</v>
      </c>
      <c r="K405" s="565"/>
      <c r="L405" s="520"/>
      <c r="M405" s="520"/>
    </row>
    <row r="406" spans="1:27" ht="18.75">
      <c r="A406" s="436"/>
      <c r="B406" s="438" t="s">
        <v>10</v>
      </c>
      <c r="C406" s="405"/>
      <c r="D406" s="405"/>
      <c r="E406" s="405"/>
      <c r="F406" s="405"/>
      <c r="G406" s="405"/>
      <c r="H406" s="554"/>
      <c r="I406" s="490">
        <v>690000000</v>
      </c>
      <c r="J406" s="474">
        <v>422657857</v>
      </c>
      <c r="K406" s="565">
        <v>104585194</v>
      </c>
      <c r="L406" s="520">
        <f t="shared" si="157"/>
        <v>61.25476188405797</v>
      </c>
      <c r="M406" s="520">
        <f t="shared" si="158"/>
        <v>404.12781277625209</v>
      </c>
    </row>
    <row r="407" spans="1:27" ht="37.5">
      <c r="A407" s="436" t="s">
        <v>15</v>
      </c>
      <c r="B407" s="437" t="s">
        <v>481</v>
      </c>
      <c r="C407" s="405"/>
      <c r="D407" s="405"/>
      <c r="E407" s="405"/>
      <c r="F407" s="405"/>
      <c r="G407" s="405"/>
      <c r="H407" s="554"/>
      <c r="I407" s="495">
        <v>226000000</v>
      </c>
      <c r="J407" s="474">
        <v>187620065</v>
      </c>
      <c r="K407" s="565">
        <v>35106000</v>
      </c>
      <c r="L407" s="520">
        <f t="shared" si="157"/>
        <v>83.017727876106193</v>
      </c>
      <c r="M407" s="520">
        <f t="shared" si="158"/>
        <v>534.43874266507146</v>
      </c>
    </row>
    <row r="408" spans="1:27" ht="19.5">
      <c r="A408" s="434" t="s">
        <v>9</v>
      </c>
      <c r="B408" s="435" t="s">
        <v>69</v>
      </c>
      <c r="C408" s="405"/>
      <c r="D408" s="405"/>
      <c r="E408" s="405"/>
      <c r="F408" s="405"/>
      <c r="G408" s="405"/>
      <c r="H408" s="554"/>
      <c r="I408" s="473">
        <f t="shared" ref="I408:K408" si="168">I409</f>
        <v>0</v>
      </c>
      <c r="J408" s="473">
        <f t="shared" si="168"/>
        <v>0</v>
      </c>
      <c r="K408" s="567">
        <f t="shared" si="168"/>
        <v>0</v>
      </c>
      <c r="L408" s="521" t="e">
        <f t="shared" si="157"/>
        <v>#DIV/0!</v>
      </c>
      <c r="M408" s="521" t="e">
        <f t="shared" si="158"/>
        <v>#DIV/0!</v>
      </c>
    </row>
    <row r="409" spans="1:27" ht="37.5">
      <c r="A409" s="427"/>
      <c r="B409" s="437" t="s">
        <v>525</v>
      </c>
      <c r="C409" s="405"/>
      <c r="D409" s="405"/>
      <c r="E409" s="405"/>
      <c r="F409" s="405"/>
      <c r="G409" s="405"/>
      <c r="H409" s="554"/>
      <c r="I409" s="598">
        <f>511427545-506000000-5427545</f>
        <v>0</v>
      </c>
      <c r="J409" s="598">
        <f>511427545-506000000-5427545</f>
        <v>0</v>
      </c>
      <c r="K409" s="565"/>
      <c r="L409" s="521" t="e">
        <f t="shared" si="157"/>
        <v>#DIV/0!</v>
      </c>
      <c r="M409" s="521" t="e">
        <f t="shared" si="158"/>
        <v>#DIV/0!</v>
      </c>
    </row>
    <row r="410" spans="1:27" ht="18.75">
      <c r="A410" s="427">
        <v>2</v>
      </c>
      <c r="B410" s="420" t="s">
        <v>461</v>
      </c>
      <c r="C410" s="405"/>
      <c r="D410" s="405"/>
      <c r="E410" s="405"/>
      <c r="F410" s="405"/>
      <c r="G410" s="405"/>
      <c r="H410" s="554"/>
      <c r="I410" s="488">
        <f>SUM(I411:I413)+I417</f>
        <v>5927000000</v>
      </c>
      <c r="J410" s="488">
        <f t="shared" ref="J410:K410" si="169">SUM(J411:J413)+J417</f>
        <v>4144593840</v>
      </c>
      <c r="K410" s="488">
        <f t="shared" si="169"/>
        <v>228660000</v>
      </c>
      <c r="L410" s="520">
        <f t="shared" si="157"/>
        <v>69.927346718407293</v>
      </c>
      <c r="M410" s="520">
        <f t="shared" si="158"/>
        <v>1812.5574389923904</v>
      </c>
    </row>
    <row r="411" spans="1:27" ht="18.75">
      <c r="A411" s="436" t="s">
        <v>14</v>
      </c>
      <c r="B411" s="440" t="s">
        <v>36</v>
      </c>
      <c r="C411" s="405"/>
      <c r="D411" s="405"/>
      <c r="E411" s="405"/>
      <c r="F411" s="405"/>
      <c r="G411" s="405"/>
      <c r="H411" s="554"/>
      <c r="I411" s="489">
        <v>78000000</v>
      </c>
      <c r="J411" s="474">
        <v>61800000</v>
      </c>
      <c r="K411" s="565">
        <v>62260000</v>
      </c>
      <c r="L411" s="520">
        <f t="shared" si="157"/>
        <v>79.230769230769226</v>
      </c>
      <c r="M411" s="520">
        <f t="shared" si="158"/>
        <v>99.261162865403151</v>
      </c>
    </row>
    <row r="412" spans="1:27" ht="18.75">
      <c r="A412" s="436" t="s">
        <v>15</v>
      </c>
      <c r="B412" s="440" t="s">
        <v>75</v>
      </c>
      <c r="C412" s="405"/>
      <c r="D412" s="405"/>
      <c r="E412" s="405"/>
      <c r="F412" s="405"/>
      <c r="G412" s="405"/>
      <c r="H412" s="554"/>
      <c r="I412" s="491">
        <v>691000000</v>
      </c>
      <c r="J412" s="474">
        <v>633600000</v>
      </c>
      <c r="K412" s="565">
        <v>166400000</v>
      </c>
      <c r="L412" s="520">
        <f t="shared" si="157"/>
        <v>91.693198263386392</v>
      </c>
      <c r="M412" s="520">
        <f t="shared" si="158"/>
        <v>380.76923076923077</v>
      </c>
    </row>
    <row r="413" spans="1:27" ht="18.75">
      <c r="A413" s="436" t="s">
        <v>24</v>
      </c>
      <c r="B413" s="440" t="s">
        <v>76</v>
      </c>
      <c r="C413" s="405"/>
      <c r="D413" s="405"/>
      <c r="E413" s="405"/>
      <c r="F413" s="405"/>
      <c r="G413" s="405"/>
      <c r="H413" s="554"/>
      <c r="I413" s="490">
        <f t="shared" ref="I413:K413" si="170">SUM(I414:I416)</f>
        <v>4771789000</v>
      </c>
      <c r="J413" s="490">
        <f t="shared" si="170"/>
        <v>3449193840</v>
      </c>
      <c r="K413" s="566">
        <f t="shared" si="170"/>
        <v>0</v>
      </c>
      <c r="L413" s="520">
        <f t="shared" si="157"/>
        <v>72.283033470256115</v>
      </c>
      <c r="M413" s="520" t="e">
        <f t="shared" si="158"/>
        <v>#DIV/0!</v>
      </c>
    </row>
    <row r="414" spans="1:27" ht="18.75">
      <c r="A414" s="442"/>
      <c r="B414" s="451" t="s">
        <v>63</v>
      </c>
      <c r="C414" s="405"/>
      <c r="D414" s="405"/>
      <c r="E414" s="405"/>
      <c r="F414" s="405"/>
      <c r="G414" s="405"/>
      <c r="H414" s="554"/>
      <c r="I414" s="595">
        <f>4447000000-386211000</f>
        <v>4060789000</v>
      </c>
      <c r="J414" s="474">
        <v>2914770010</v>
      </c>
      <c r="K414" s="565"/>
      <c r="L414" s="521">
        <f t="shared" si="157"/>
        <v>71.778415721673795</v>
      </c>
      <c r="M414" s="521" t="e">
        <f t="shared" si="158"/>
        <v>#DIV/0!</v>
      </c>
    </row>
    <row r="415" spans="1:27" ht="37.5">
      <c r="A415" s="442"/>
      <c r="B415" s="451" t="s">
        <v>64</v>
      </c>
      <c r="C415" s="405"/>
      <c r="D415" s="405"/>
      <c r="E415" s="405"/>
      <c r="F415" s="405"/>
      <c r="G415" s="405"/>
      <c r="H415" s="554"/>
      <c r="I415" s="490">
        <v>550000000</v>
      </c>
      <c r="J415" s="474">
        <v>534423830</v>
      </c>
      <c r="K415" s="565"/>
      <c r="L415" s="520">
        <f t="shared" si="157"/>
        <v>97.167969090909097</v>
      </c>
      <c r="M415" s="521" t="e">
        <f t="shared" si="158"/>
        <v>#DIV/0!</v>
      </c>
    </row>
    <row r="416" spans="1:27" ht="18.75">
      <c r="A416" s="442"/>
      <c r="B416" s="451" t="s">
        <v>27</v>
      </c>
      <c r="C416" s="405"/>
      <c r="D416" s="405"/>
      <c r="E416" s="405"/>
      <c r="F416" s="405"/>
      <c r="G416" s="405"/>
      <c r="H416" s="554"/>
      <c r="I416" s="474">
        <v>161000000</v>
      </c>
      <c r="J416" s="474"/>
      <c r="K416" s="565"/>
      <c r="L416" s="521">
        <f t="shared" si="157"/>
        <v>0</v>
      </c>
      <c r="M416" s="521" t="e">
        <f t="shared" si="158"/>
        <v>#DIV/0!</v>
      </c>
    </row>
    <row r="417" spans="1:29" ht="18.75">
      <c r="A417" s="442" t="s">
        <v>313</v>
      </c>
      <c r="B417" s="629" t="s">
        <v>756</v>
      </c>
      <c r="C417" s="405"/>
      <c r="D417" s="405"/>
      <c r="E417" s="405"/>
      <c r="F417" s="405"/>
      <c r="G417" s="405"/>
      <c r="H417" s="554"/>
      <c r="I417" s="474">
        <v>386211000</v>
      </c>
      <c r="J417" s="474"/>
      <c r="K417" s="565"/>
      <c r="L417" s="521"/>
      <c r="M417" s="521"/>
    </row>
    <row r="418" spans="1:29" s="608" customFormat="1" ht="19.5">
      <c r="A418" s="601">
        <v>3</v>
      </c>
      <c r="B418" s="602" t="s">
        <v>537</v>
      </c>
      <c r="C418" s="603"/>
      <c r="D418" s="603"/>
      <c r="E418" s="603"/>
      <c r="F418" s="603"/>
      <c r="G418" s="603"/>
      <c r="H418" s="604"/>
      <c r="I418" s="605">
        <f t="shared" ref="I418:K418" si="171">I419+I420</f>
        <v>24500000</v>
      </c>
      <c r="J418" s="605">
        <f t="shared" si="171"/>
        <v>0</v>
      </c>
      <c r="K418" s="606">
        <f t="shared" si="171"/>
        <v>0</v>
      </c>
      <c r="L418" s="607">
        <f t="shared" si="157"/>
        <v>0</v>
      </c>
      <c r="M418" s="607" t="e">
        <f t="shared" si="158"/>
        <v>#DIV/0!</v>
      </c>
      <c r="R418" s="609"/>
      <c r="S418" s="609"/>
    </row>
    <row r="419" spans="1:29" ht="18.75">
      <c r="A419" s="442"/>
      <c r="B419" s="438" t="s">
        <v>551</v>
      </c>
      <c r="C419" s="405"/>
      <c r="D419" s="405"/>
      <c r="E419" s="405"/>
      <c r="F419" s="405"/>
      <c r="G419" s="405"/>
      <c r="H419" s="554"/>
      <c r="I419" s="478">
        <v>22400000</v>
      </c>
      <c r="J419" s="474"/>
      <c r="K419" s="565"/>
      <c r="L419" s="520">
        <f t="shared" si="157"/>
        <v>0</v>
      </c>
      <c r="M419" s="520" t="e">
        <f t="shared" si="158"/>
        <v>#DIV/0!</v>
      </c>
    </row>
    <row r="420" spans="1:29" ht="37.5">
      <c r="A420" s="434"/>
      <c r="B420" s="438" t="s">
        <v>552</v>
      </c>
      <c r="C420" s="405"/>
      <c r="D420" s="405"/>
      <c r="E420" s="405"/>
      <c r="F420" s="405"/>
      <c r="G420" s="405"/>
      <c r="H420" s="554"/>
      <c r="I420" s="489">
        <v>2100000</v>
      </c>
      <c r="J420" s="474"/>
      <c r="K420" s="565"/>
      <c r="L420" s="520">
        <f t="shared" si="157"/>
        <v>0</v>
      </c>
      <c r="M420" s="520" t="e">
        <f t="shared" si="158"/>
        <v>#DIV/0!</v>
      </c>
    </row>
    <row r="421" spans="1:29" ht="37.5">
      <c r="A421" s="432" t="s">
        <v>105</v>
      </c>
      <c r="B421" s="433" t="s">
        <v>308</v>
      </c>
      <c r="C421" s="405"/>
      <c r="D421" s="405"/>
      <c r="E421" s="405"/>
      <c r="F421" s="405"/>
      <c r="G421" s="405"/>
      <c r="H421" s="554"/>
      <c r="I421" s="486">
        <f t="shared" ref="I421:K421" si="172">I424+I422</f>
        <v>7157400000</v>
      </c>
      <c r="J421" s="486">
        <f t="shared" si="172"/>
        <v>534951915</v>
      </c>
      <c r="K421" s="561">
        <f t="shared" si="172"/>
        <v>1662928457</v>
      </c>
      <c r="L421" s="520">
        <f t="shared" si="157"/>
        <v>7.4741095230111494</v>
      </c>
      <c r="M421" s="520">
        <f t="shared" si="158"/>
        <v>32.169268181571567</v>
      </c>
      <c r="AA421" s="129"/>
      <c r="AB421" s="129"/>
      <c r="AC421" s="129"/>
    </row>
    <row r="422" spans="1:29" ht="18.75">
      <c r="A422" s="427" t="s">
        <v>11</v>
      </c>
      <c r="B422" s="428" t="s">
        <v>726</v>
      </c>
      <c r="C422" s="405"/>
      <c r="D422" s="405"/>
      <c r="E422" s="405"/>
      <c r="F422" s="405"/>
      <c r="G422" s="405"/>
      <c r="H422" s="554"/>
      <c r="I422" s="494">
        <f t="shared" ref="I422:K422" si="173">+I423</f>
        <v>0</v>
      </c>
      <c r="J422" s="494">
        <f t="shared" si="173"/>
        <v>0</v>
      </c>
      <c r="K422" s="572">
        <f t="shared" si="173"/>
        <v>784280000</v>
      </c>
      <c r="L422" s="521" t="e">
        <f t="shared" si="157"/>
        <v>#DIV/0!</v>
      </c>
      <c r="M422" s="521">
        <f t="shared" si="158"/>
        <v>0</v>
      </c>
    </row>
    <row r="423" spans="1:29" ht="37.5">
      <c r="A423" s="427"/>
      <c r="B423" s="438" t="s">
        <v>727</v>
      </c>
      <c r="C423" s="405"/>
      <c r="D423" s="405"/>
      <c r="E423" s="405"/>
      <c r="F423" s="405"/>
      <c r="G423" s="405"/>
      <c r="H423" s="554"/>
      <c r="I423" s="473">
        <v>0</v>
      </c>
      <c r="J423" s="474">
        <v>0</v>
      </c>
      <c r="K423" s="565">
        <v>784280000</v>
      </c>
      <c r="L423" s="521" t="e">
        <f t="shared" si="157"/>
        <v>#DIV/0!</v>
      </c>
      <c r="M423" s="521">
        <f t="shared" si="158"/>
        <v>0</v>
      </c>
    </row>
    <row r="424" spans="1:29" ht="18.75">
      <c r="A424" s="427" t="s">
        <v>217</v>
      </c>
      <c r="B424" s="428" t="s">
        <v>463</v>
      </c>
      <c r="C424" s="405"/>
      <c r="D424" s="405"/>
      <c r="E424" s="405"/>
      <c r="F424" s="405"/>
      <c r="G424" s="405"/>
      <c r="H424" s="554"/>
      <c r="I424" s="472">
        <f>I425+I432+I444+I439</f>
        <v>7157400000</v>
      </c>
      <c r="J424" s="472">
        <f>J425+J432+J444</f>
        <v>534951915</v>
      </c>
      <c r="K424" s="558">
        <f>K425+K432+K444</f>
        <v>878648457</v>
      </c>
      <c r="L424" s="520">
        <f t="shared" si="157"/>
        <v>7.4741095230111494</v>
      </c>
      <c r="M424" s="520">
        <f t="shared" si="158"/>
        <v>60.883497915253272</v>
      </c>
    </row>
    <row r="425" spans="1:29" ht="18.75">
      <c r="A425" s="427">
        <v>1</v>
      </c>
      <c r="B425" s="420" t="s">
        <v>7</v>
      </c>
      <c r="C425" s="405"/>
      <c r="D425" s="405"/>
      <c r="E425" s="405"/>
      <c r="F425" s="405"/>
      <c r="G425" s="405"/>
      <c r="H425" s="554"/>
      <c r="I425" s="488">
        <f t="shared" ref="I425:K425" si="174">I427+I430</f>
        <v>738000000</v>
      </c>
      <c r="J425" s="488">
        <f t="shared" si="174"/>
        <v>158351580</v>
      </c>
      <c r="K425" s="563">
        <f t="shared" si="174"/>
        <v>204167955</v>
      </c>
      <c r="L425" s="520">
        <f t="shared" si="157"/>
        <v>21.456853658536584</v>
      </c>
      <c r="M425" s="520">
        <f t="shared" si="158"/>
        <v>77.55946813494802</v>
      </c>
    </row>
    <row r="426" spans="1:29" ht="18.75">
      <c r="A426" s="427" t="s">
        <v>8</v>
      </c>
      <c r="B426" s="420" t="s">
        <v>67</v>
      </c>
      <c r="C426" s="405"/>
      <c r="D426" s="405"/>
      <c r="E426" s="405"/>
      <c r="F426" s="405"/>
      <c r="G426" s="405"/>
      <c r="H426" s="554"/>
      <c r="I426" s="488">
        <f t="shared" ref="I426:K426" si="175">+I427</f>
        <v>738000000</v>
      </c>
      <c r="J426" s="488">
        <f t="shared" si="175"/>
        <v>158351580</v>
      </c>
      <c r="K426" s="563">
        <f t="shared" si="175"/>
        <v>204167955</v>
      </c>
      <c r="L426" s="520">
        <f t="shared" si="157"/>
        <v>21.456853658536584</v>
      </c>
      <c r="M426" s="520">
        <f t="shared" si="158"/>
        <v>77.55946813494802</v>
      </c>
    </row>
    <row r="427" spans="1:29" ht="19.5" thickBot="1">
      <c r="A427" s="427"/>
      <c r="B427" s="437" t="s">
        <v>524</v>
      </c>
      <c r="C427" s="405"/>
      <c r="D427" s="405"/>
      <c r="E427" s="405"/>
      <c r="F427" s="405"/>
      <c r="G427" s="405"/>
      <c r="H427" s="554"/>
      <c r="I427" s="489">
        <f t="shared" ref="I427:K427" si="176">I428</f>
        <v>738000000</v>
      </c>
      <c r="J427" s="489">
        <f t="shared" si="176"/>
        <v>158351580</v>
      </c>
      <c r="K427" s="564">
        <f t="shared" si="176"/>
        <v>204167955</v>
      </c>
      <c r="L427" s="520">
        <f t="shared" si="157"/>
        <v>21.456853658536584</v>
      </c>
      <c r="M427" s="520">
        <f t="shared" si="158"/>
        <v>77.55946813494802</v>
      </c>
    </row>
    <row r="428" spans="1:29" ht="19.5" thickBot="1">
      <c r="A428" s="436"/>
      <c r="B428" s="438" t="s">
        <v>65</v>
      </c>
      <c r="C428" s="405"/>
      <c r="D428" s="405"/>
      <c r="E428" s="405"/>
      <c r="F428" s="405"/>
      <c r="G428" s="405"/>
      <c r="H428" s="554"/>
      <c r="I428" s="590">
        <f>710000000+28000000</f>
        <v>738000000</v>
      </c>
      <c r="J428" s="589">
        <v>158351580</v>
      </c>
      <c r="K428" s="565">
        <v>204167955</v>
      </c>
      <c r="L428" s="520">
        <f t="shared" si="157"/>
        <v>21.456853658536584</v>
      </c>
      <c r="M428" s="520">
        <f t="shared" si="158"/>
        <v>77.55946813494802</v>
      </c>
    </row>
    <row r="429" spans="1:29" ht="18.75">
      <c r="A429" s="427"/>
      <c r="B429" s="438" t="s">
        <v>10</v>
      </c>
      <c r="C429" s="405"/>
      <c r="D429" s="405"/>
      <c r="E429" s="405"/>
      <c r="F429" s="405"/>
      <c r="G429" s="405"/>
      <c r="H429" s="554"/>
      <c r="I429" s="473">
        <v>0</v>
      </c>
      <c r="J429" s="474"/>
      <c r="K429" s="565"/>
      <c r="L429" s="521" t="e">
        <f t="shared" si="157"/>
        <v>#DIV/0!</v>
      </c>
      <c r="M429" s="521" t="e">
        <f t="shared" si="158"/>
        <v>#DIV/0!</v>
      </c>
    </row>
    <row r="430" spans="1:29" ht="18.75">
      <c r="A430" s="427" t="s">
        <v>9</v>
      </c>
      <c r="B430" s="420" t="s">
        <v>69</v>
      </c>
      <c r="C430" s="405"/>
      <c r="D430" s="405"/>
      <c r="E430" s="405"/>
      <c r="F430" s="405"/>
      <c r="G430" s="405"/>
      <c r="H430" s="554"/>
      <c r="I430" s="472">
        <f t="shared" ref="I430:K430" si="177">+I431</f>
        <v>0</v>
      </c>
      <c r="J430" s="472">
        <f t="shared" si="177"/>
        <v>0</v>
      </c>
      <c r="K430" s="558">
        <f t="shared" si="177"/>
        <v>0</v>
      </c>
      <c r="L430" s="521" t="e">
        <f t="shared" si="157"/>
        <v>#DIV/0!</v>
      </c>
      <c r="M430" s="521" t="e">
        <f t="shared" si="158"/>
        <v>#DIV/0!</v>
      </c>
    </row>
    <row r="431" spans="1:29" ht="37.5">
      <c r="A431" s="436"/>
      <c r="B431" s="437" t="s">
        <v>526</v>
      </c>
      <c r="C431" s="405"/>
      <c r="D431" s="405"/>
      <c r="E431" s="405"/>
      <c r="F431" s="405"/>
      <c r="G431" s="405"/>
      <c r="H431" s="554"/>
      <c r="I431" s="600">
        <f>28000000*0</f>
        <v>0</v>
      </c>
      <c r="J431" s="474"/>
      <c r="K431" s="565"/>
      <c r="L431" s="521" t="e">
        <f t="shared" si="157"/>
        <v>#DIV/0!</v>
      </c>
      <c r="M431" s="521" t="e">
        <f t="shared" si="158"/>
        <v>#DIV/0!</v>
      </c>
    </row>
    <row r="432" spans="1:29" ht="18.75">
      <c r="A432" s="427">
        <v>2</v>
      </c>
      <c r="B432" s="420" t="s">
        <v>464</v>
      </c>
      <c r="C432" s="405"/>
      <c r="D432" s="405"/>
      <c r="E432" s="405"/>
      <c r="F432" s="405"/>
      <c r="G432" s="405"/>
      <c r="H432" s="554"/>
      <c r="I432" s="488">
        <f t="shared" ref="I432:K432" si="178">+SUM(I433:I438)</f>
        <v>2715000000</v>
      </c>
      <c r="J432" s="488">
        <f t="shared" si="178"/>
        <v>376600335</v>
      </c>
      <c r="K432" s="563">
        <f t="shared" si="178"/>
        <v>674480502</v>
      </c>
      <c r="L432" s="520">
        <f t="shared" si="157"/>
        <v>13.871098895027625</v>
      </c>
      <c r="M432" s="520">
        <f t="shared" si="158"/>
        <v>55.835614800322276</v>
      </c>
    </row>
    <row r="433" spans="1:19" ht="37.5">
      <c r="A433" s="436" t="s">
        <v>14</v>
      </c>
      <c r="B433" s="423" t="s">
        <v>77</v>
      </c>
      <c r="C433" s="405"/>
      <c r="D433" s="405"/>
      <c r="E433" s="405"/>
      <c r="F433" s="405"/>
      <c r="G433" s="405"/>
      <c r="H433" s="554"/>
      <c r="I433" s="478">
        <v>500000000</v>
      </c>
      <c r="J433" s="591">
        <v>367451150</v>
      </c>
      <c r="K433" s="565"/>
      <c r="L433" s="521">
        <f t="shared" si="157"/>
        <v>73.490229999999997</v>
      </c>
      <c r="M433" s="521" t="e">
        <f t="shared" si="158"/>
        <v>#DIV/0!</v>
      </c>
    </row>
    <row r="434" spans="1:19" ht="18.75">
      <c r="A434" s="436" t="s">
        <v>15</v>
      </c>
      <c r="B434" s="423" t="s">
        <v>361</v>
      </c>
      <c r="C434" s="405"/>
      <c r="D434" s="405"/>
      <c r="E434" s="405"/>
      <c r="F434" s="405"/>
      <c r="G434" s="405"/>
      <c r="H434" s="554"/>
      <c r="I434" s="478">
        <v>2215000000</v>
      </c>
      <c r="J434" s="590">
        <v>9149185</v>
      </c>
      <c r="K434" s="565">
        <v>674480502</v>
      </c>
      <c r="L434" s="520">
        <f t="shared" si="157"/>
        <v>0.41305575620767498</v>
      </c>
      <c r="M434" s="520">
        <f t="shared" si="158"/>
        <v>1.3564787970698076</v>
      </c>
    </row>
    <row r="435" spans="1:19" ht="37.5">
      <c r="A435" s="436" t="s">
        <v>24</v>
      </c>
      <c r="B435" s="423" t="s">
        <v>728</v>
      </c>
      <c r="C435" s="405"/>
      <c r="D435" s="405"/>
      <c r="E435" s="405"/>
      <c r="F435" s="405"/>
      <c r="G435" s="405"/>
      <c r="H435" s="554"/>
      <c r="I435" s="496">
        <v>0</v>
      </c>
      <c r="J435" s="474"/>
      <c r="K435" s="565"/>
      <c r="L435" s="521" t="e">
        <f t="shared" si="157"/>
        <v>#DIV/0!</v>
      </c>
      <c r="M435" s="521" t="e">
        <f t="shared" si="158"/>
        <v>#DIV/0!</v>
      </c>
    </row>
    <row r="436" spans="1:19" ht="18.75">
      <c r="A436" s="436" t="s">
        <v>313</v>
      </c>
      <c r="B436" s="423" t="s">
        <v>729</v>
      </c>
      <c r="C436" s="405"/>
      <c r="D436" s="405"/>
      <c r="E436" s="405"/>
      <c r="F436" s="405"/>
      <c r="G436" s="405"/>
      <c r="H436" s="554"/>
      <c r="I436" s="496"/>
      <c r="J436" s="474"/>
      <c r="K436" s="565"/>
      <c r="L436" s="521" t="e">
        <f t="shared" si="157"/>
        <v>#DIV/0!</v>
      </c>
      <c r="M436" s="521" t="e">
        <f t="shared" si="158"/>
        <v>#DIV/0!</v>
      </c>
    </row>
    <row r="437" spans="1:19" ht="18.75">
      <c r="A437" s="436" t="s">
        <v>314</v>
      </c>
      <c r="B437" s="423" t="s">
        <v>730</v>
      </c>
      <c r="C437" s="405"/>
      <c r="D437" s="405"/>
      <c r="E437" s="405"/>
      <c r="F437" s="405"/>
      <c r="G437" s="405"/>
      <c r="H437" s="554"/>
      <c r="I437" s="496"/>
      <c r="J437" s="474"/>
      <c r="K437" s="565"/>
      <c r="L437" s="521" t="e">
        <f t="shared" si="157"/>
        <v>#DIV/0!</v>
      </c>
      <c r="M437" s="521" t="e">
        <f t="shared" si="158"/>
        <v>#DIV/0!</v>
      </c>
    </row>
    <row r="438" spans="1:19" ht="18.75">
      <c r="A438" s="436" t="s">
        <v>315</v>
      </c>
      <c r="B438" s="423" t="s">
        <v>731</v>
      </c>
      <c r="C438" s="405"/>
      <c r="D438" s="405"/>
      <c r="E438" s="405"/>
      <c r="F438" s="405"/>
      <c r="G438" s="405"/>
      <c r="H438" s="554"/>
      <c r="I438" s="496"/>
      <c r="J438" s="474"/>
      <c r="K438" s="565"/>
      <c r="L438" s="521" t="e">
        <f t="shared" si="157"/>
        <v>#DIV/0!</v>
      </c>
      <c r="M438" s="521" t="e">
        <f t="shared" si="158"/>
        <v>#DIV/0!</v>
      </c>
    </row>
    <row r="439" spans="1:19" ht="33">
      <c r="A439" s="436">
        <v>3</v>
      </c>
      <c r="B439" s="638" t="s">
        <v>760</v>
      </c>
      <c r="C439" s="405"/>
      <c r="D439" s="405"/>
      <c r="E439" s="405"/>
      <c r="F439" s="405"/>
      <c r="G439" s="405"/>
      <c r="H439" s="554"/>
      <c r="I439" s="641">
        <f t="shared" ref="I439:K439" si="179">+I440+I442</f>
        <v>3633000000</v>
      </c>
      <c r="J439" s="641">
        <f t="shared" si="179"/>
        <v>0</v>
      </c>
      <c r="K439" s="641">
        <f t="shared" si="179"/>
        <v>0</v>
      </c>
      <c r="L439" s="521"/>
      <c r="M439" s="521"/>
    </row>
    <row r="440" spans="1:19" ht="18.75">
      <c r="A440" s="436"/>
      <c r="B440" s="638" t="s">
        <v>761</v>
      </c>
      <c r="C440" s="405"/>
      <c r="D440" s="405"/>
      <c r="E440" s="405"/>
      <c r="F440" s="405"/>
      <c r="G440" s="405"/>
      <c r="H440" s="554"/>
      <c r="I440" s="641">
        <f t="shared" ref="I440:K440" si="180">+I441</f>
        <v>2328451000</v>
      </c>
      <c r="J440" s="641">
        <f t="shared" si="180"/>
        <v>0</v>
      </c>
      <c r="K440" s="641">
        <f t="shared" si="180"/>
        <v>0</v>
      </c>
      <c r="L440" s="521"/>
      <c r="M440" s="521"/>
    </row>
    <row r="441" spans="1:19" ht="18.75">
      <c r="A441" s="436"/>
      <c r="B441" s="639" t="s">
        <v>762</v>
      </c>
      <c r="C441" s="405"/>
      <c r="D441" s="405"/>
      <c r="E441" s="405"/>
      <c r="F441" s="405"/>
      <c r="G441" s="405"/>
      <c r="H441" s="554"/>
      <c r="I441" s="642">
        <v>2328451000</v>
      </c>
      <c r="J441" s="474"/>
      <c r="K441" s="565"/>
      <c r="L441" s="521"/>
      <c r="M441" s="521"/>
    </row>
    <row r="442" spans="1:19" ht="18.75">
      <c r="A442" s="436"/>
      <c r="B442" s="640" t="s">
        <v>763</v>
      </c>
      <c r="C442" s="405"/>
      <c r="D442" s="405"/>
      <c r="E442" s="405"/>
      <c r="F442" s="405"/>
      <c r="G442" s="405"/>
      <c r="H442" s="554"/>
      <c r="I442" s="641">
        <f t="shared" ref="I442:K442" si="181">+I443</f>
        <v>1304549000</v>
      </c>
      <c r="J442" s="641">
        <f t="shared" si="181"/>
        <v>0</v>
      </c>
      <c r="K442" s="641">
        <f t="shared" si="181"/>
        <v>0</v>
      </c>
      <c r="L442" s="521"/>
      <c r="M442" s="521"/>
    </row>
    <row r="443" spans="1:19" ht="18.75">
      <c r="A443" s="436"/>
      <c r="B443" s="639" t="s">
        <v>762</v>
      </c>
      <c r="C443" s="405"/>
      <c r="D443" s="405"/>
      <c r="E443" s="405"/>
      <c r="F443" s="405"/>
      <c r="G443" s="405"/>
      <c r="H443" s="554"/>
      <c r="I443" s="642">
        <v>1304549000</v>
      </c>
      <c r="J443" s="474"/>
      <c r="K443" s="565"/>
      <c r="L443" s="521"/>
      <c r="M443" s="521"/>
    </row>
    <row r="444" spans="1:19" s="608" customFormat="1" ht="18.75">
      <c r="A444" s="612">
        <v>4</v>
      </c>
      <c r="B444" s="602" t="s">
        <v>537</v>
      </c>
      <c r="C444" s="603"/>
      <c r="D444" s="603"/>
      <c r="E444" s="603"/>
      <c r="F444" s="603"/>
      <c r="G444" s="603"/>
      <c r="H444" s="604"/>
      <c r="I444" s="605">
        <f t="shared" ref="I444:K444" si="182">SUM(I445:I448)</f>
        <v>71400000</v>
      </c>
      <c r="J444" s="605">
        <f t="shared" si="182"/>
        <v>0</v>
      </c>
      <c r="K444" s="606">
        <f t="shared" si="182"/>
        <v>0</v>
      </c>
      <c r="L444" s="607">
        <f t="shared" si="157"/>
        <v>0</v>
      </c>
      <c r="M444" s="607" t="e">
        <f t="shared" si="158"/>
        <v>#DIV/0!</v>
      </c>
      <c r="R444" s="609"/>
      <c r="S444" s="609"/>
    </row>
    <row r="445" spans="1:19" ht="18.75">
      <c r="A445" s="436"/>
      <c r="B445" s="438" t="s">
        <v>553</v>
      </c>
      <c r="C445" s="405"/>
      <c r="D445" s="405"/>
      <c r="E445" s="405"/>
      <c r="F445" s="405"/>
      <c r="G445" s="405"/>
      <c r="H445" s="554"/>
      <c r="I445" s="496">
        <v>7000000</v>
      </c>
      <c r="J445" s="474"/>
      <c r="K445" s="565"/>
      <c r="L445" s="520">
        <f t="shared" si="157"/>
        <v>0</v>
      </c>
      <c r="M445" s="520" t="e">
        <f t="shared" si="158"/>
        <v>#DIV/0!</v>
      </c>
    </row>
    <row r="446" spans="1:19" ht="37.5">
      <c r="A446" s="436"/>
      <c r="B446" s="438" t="s">
        <v>554</v>
      </c>
      <c r="C446" s="405"/>
      <c r="D446" s="405"/>
      <c r="E446" s="405"/>
      <c r="F446" s="405"/>
      <c r="G446" s="405"/>
      <c r="H446" s="554"/>
      <c r="I446" s="490">
        <v>2800000</v>
      </c>
      <c r="J446" s="474"/>
      <c r="K446" s="565"/>
      <c r="L446" s="520">
        <f t="shared" si="157"/>
        <v>0</v>
      </c>
      <c r="M446" s="520" t="e">
        <f t="shared" si="158"/>
        <v>#DIV/0!</v>
      </c>
    </row>
    <row r="447" spans="1:19" ht="37.5">
      <c r="A447" s="436"/>
      <c r="B447" s="438" t="s">
        <v>552</v>
      </c>
      <c r="C447" s="405"/>
      <c r="D447" s="405"/>
      <c r="E447" s="405"/>
      <c r="F447" s="405"/>
      <c r="G447" s="405"/>
      <c r="H447" s="554"/>
      <c r="I447" s="490">
        <v>2100000</v>
      </c>
      <c r="J447" s="474"/>
      <c r="K447" s="565"/>
      <c r="L447" s="520">
        <f t="shared" si="157"/>
        <v>0</v>
      </c>
      <c r="M447" s="520" t="e">
        <f t="shared" si="158"/>
        <v>#DIV/0!</v>
      </c>
    </row>
    <row r="448" spans="1:19" ht="37.5">
      <c r="A448" s="436"/>
      <c r="B448" s="438" t="s">
        <v>555</v>
      </c>
      <c r="C448" s="405"/>
      <c r="D448" s="405"/>
      <c r="E448" s="405"/>
      <c r="F448" s="405"/>
      <c r="G448" s="405"/>
      <c r="H448" s="554"/>
      <c r="I448" s="478">
        <v>59500000</v>
      </c>
      <c r="J448" s="474"/>
      <c r="K448" s="565"/>
      <c r="L448" s="520">
        <f t="shared" si="157"/>
        <v>0</v>
      </c>
      <c r="M448" s="520" t="e">
        <f t="shared" si="158"/>
        <v>#DIV/0!</v>
      </c>
    </row>
    <row r="449" spans="1:13" ht="37.5">
      <c r="A449" s="425" t="s">
        <v>94</v>
      </c>
      <c r="B449" s="426" t="s">
        <v>342</v>
      </c>
      <c r="C449" s="405"/>
      <c r="D449" s="405"/>
      <c r="E449" s="405"/>
      <c r="F449" s="405"/>
      <c r="G449" s="405"/>
      <c r="H449" s="554"/>
      <c r="I449" s="484">
        <f>I450+I508</f>
        <v>11864583500</v>
      </c>
      <c r="J449" s="484">
        <f>J450+J508</f>
        <v>5676031310</v>
      </c>
      <c r="K449" s="559">
        <f>K450+K508</f>
        <v>1311616174</v>
      </c>
      <c r="L449" s="520">
        <f t="shared" si="157"/>
        <v>47.840122748514517</v>
      </c>
      <c r="M449" s="520">
        <f t="shared" si="158"/>
        <v>432.75093907160073</v>
      </c>
    </row>
    <row r="450" spans="1:13" ht="18.75">
      <c r="A450" s="457" t="s">
        <v>527</v>
      </c>
      <c r="B450" s="458" t="s">
        <v>107</v>
      </c>
      <c r="C450" s="405"/>
      <c r="D450" s="405"/>
      <c r="E450" s="405"/>
      <c r="F450" s="405"/>
      <c r="G450" s="405"/>
      <c r="H450" s="554"/>
      <c r="I450" s="497">
        <f>I451+I474+I479+I484+I489+I494+I501</f>
        <v>1003583500</v>
      </c>
      <c r="J450" s="497">
        <f>J451+J474+J479+J484+J489+J494+J501</f>
        <v>814782350</v>
      </c>
      <c r="K450" s="573">
        <f>K451+K474+K479+K484+K489+K494+K501</f>
        <v>1311616174</v>
      </c>
      <c r="L450" s="520">
        <f t="shared" si="157"/>
        <v>81.187300309341467</v>
      </c>
      <c r="M450" s="520">
        <f t="shared" si="158"/>
        <v>62.120486629497748</v>
      </c>
    </row>
    <row r="451" spans="1:13" ht="18.75">
      <c r="A451" s="459" t="s">
        <v>3</v>
      </c>
      <c r="B451" s="460" t="s">
        <v>503</v>
      </c>
      <c r="C451" s="405"/>
      <c r="D451" s="405"/>
      <c r="E451" s="405"/>
      <c r="F451" s="405"/>
      <c r="G451" s="405"/>
      <c r="H451" s="554"/>
      <c r="I451" s="498">
        <f t="shared" ref="I451:K451" si="183">I458+I452</f>
        <v>948583500</v>
      </c>
      <c r="J451" s="498">
        <f t="shared" si="183"/>
        <v>770149120</v>
      </c>
      <c r="K451" s="574">
        <f t="shared" si="183"/>
        <v>217659200</v>
      </c>
      <c r="L451" s="520">
        <f t="shared" si="157"/>
        <v>81.189386068806797</v>
      </c>
      <c r="M451" s="520">
        <f t="shared" si="158"/>
        <v>353.83256025934122</v>
      </c>
    </row>
    <row r="452" spans="1:13" ht="18.75">
      <c r="A452" s="427">
        <v>1</v>
      </c>
      <c r="B452" s="420" t="s">
        <v>498</v>
      </c>
      <c r="C452" s="405"/>
      <c r="D452" s="405"/>
      <c r="E452" s="405"/>
      <c r="F452" s="405"/>
      <c r="G452" s="405"/>
      <c r="H452" s="554"/>
      <c r="I452" s="493">
        <f t="shared" ref="I452:K452" si="184">I453+I456</f>
        <v>28000000</v>
      </c>
      <c r="J452" s="493">
        <f t="shared" si="184"/>
        <v>13300000</v>
      </c>
      <c r="K452" s="569">
        <f t="shared" si="184"/>
        <v>30000000</v>
      </c>
      <c r="L452" s="520">
        <f t="shared" si="157"/>
        <v>47.5</v>
      </c>
      <c r="M452" s="521">
        <f t="shared" si="158"/>
        <v>44.333333333333336</v>
      </c>
    </row>
    <row r="453" spans="1:13" ht="58.5">
      <c r="A453" s="434" t="s">
        <v>8</v>
      </c>
      <c r="B453" s="444" t="s">
        <v>499</v>
      </c>
      <c r="C453" s="405"/>
      <c r="D453" s="405"/>
      <c r="E453" s="405"/>
      <c r="F453" s="405"/>
      <c r="G453" s="405"/>
      <c r="H453" s="554"/>
      <c r="I453" s="492">
        <f t="shared" ref="I453:K453" si="185">I454</f>
        <v>28000000</v>
      </c>
      <c r="J453" s="492">
        <f t="shared" si="185"/>
        <v>13300000</v>
      </c>
      <c r="K453" s="568">
        <f t="shared" si="185"/>
        <v>30000000</v>
      </c>
      <c r="L453" s="520">
        <f t="shared" si="157"/>
        <v>47.5</v>
      </c>
      <c r="M453" s="521">
        <f t="shared" si="158"/>
        <v>44.333333333333336</v>
      </c>
    </row>
    <row r="454" spans="1:13" ht="37.5">
      <c r="A454" s="427"/>
      <c r="B454" s="461" t="s">
        <v>528</v>
      </c>
      <c r="C454" s="405"/>
      <c r="D454" s="405"/>
      <c r="E454" s="405"/>
      <c r="F454" s="405"/>
      <c r="G454" s="405"/>
      <c r="H454" s="554"/>
      <c r="I454" s="490">
        <f t="shared" ref="I454:K454" si="186">+I455</f>
        <v>28000000</v>
      </c>
      <c r="J454" s="490">
        <f t="shared" si="186"/>
        <v>13300000</v>
      </c>
      <c r="K454" s="566">
        <f t="shared" si="186"/>
        <v>30000000</v>
      </c>
      <c r="L454" s="520">
        <f t="shared" si="157"/>
        <v>47.5</v>
      </c>
      <c r="M454" s="521">
        <f t="shared" si="158"/>
        <v>44.333333333333336</v>
      </c>
    </row>
    <row r="455" spans="1:13" ht="18.75">
      <c r="A455" s="427"/>
      <c r="B455" s="462" t="s">
        <v>174</v>
      </c>
      <c r="C455" s="405"/>
      <c r="D455" s="405"/>
      <c r="E455" s="405"/>
      <c r="F455" s="405"/>
      <c r="G455" s="405"/>
      <c r="H455" s="554"/>
      <c r="I455" s="490">
        <v>28000000</v>
      </c>
      <c r="J455" s="474">
        <v>13300000</v>
      </c>
      <c r="K455" s="565">
        <v>30000000</v>
      </c>
      <c r="L455" s="520">
        <f t="shared" ref="L455:L516" si="187">+J455/I455*100</f>
        <v>47.5</v>
      </c>
      <c r="M455" s="521">
        <f t="shared" ref="M455:M516" si="188">+J455/K455*100</f>
        <v>44.333333333333336</v>
      </c>
    </row>
    <row r="456" spans="1:13" ht="39">
      <c r="A456" s="427" t="s">
        <v>9</v>
      </c>
      <c r="B456" s="463" t="s">
        <v>732</v>
      </c>
      <c r="C456" s="405"/>
      <c r="D456" s="405"/>
      <c r="E456" s="405"/>
      <c r="F456" s="405"/>
      <c r="G456" s="405"/>
      <c r="H456" s="554"/>
      <c r="I456" s="472">
        <f t="shared" ref="I456:K456" si="189">+I457</f>
        <v>0</v>
      </c>
      <c r="J456" s="472">
        <f t="shared" si="189"/>
        <v>0</v>
      </c>
      <c r="K456" s="558">
        <f t="shared" si="189"/>
        <v>0</v>
      </c>
      <c r="L456" s="521" t="e">
        <f t="shared" si="187"/>
        <v>#DIV/0!</v>
      </c>
      <c r="M456" s="521" t="e">
        <f t="shared" si="188"/>
        <v>#DIV/0!</v>
      </c>
    </row>
    <row r="457" spans="1:13" ht="37.5">
      <c r="A457" s="436"/>
      <c r="B457" s="462" t="s">
        <v>733</v>
      </c>
      <c r="C457" s="405"/>
      <c r="D457" s="405"/>
      <c r="E457" s="405"/>
      <c r="F457" s="405"/>
      <c r="G457" s="405"/>
      <c r="H457" s="554"/>
      <c r="I457" s="490">
        <v>0</v>
      </c>
      <c r="J457" s="474">
        <v>0</v>
      </c>
      <c r="K457" s="565"/>
      <c r="L457" s="521" t="e">
        <f t="shared" si="187"/>
        <v>#DIV/0!</v>
      </c>
      <c r="M457" s="521" t="e">
        <f t="shared" si="188"/>
        <v>#DIV/0!</v>
      </c>
    </row>
    <row r="458" spans="1:13" ht="37.5">
      <c r="A458" s="427">
        <v>2</v>
      </c>
      <c r="B458" s="420" t="s">
        <v>106</v>
      </c>
      <c r="C458" s="405"/>
      <c r="D458" s="405"/>
      <c r="E458" s="405"/>
      <c r="F458" s="405"/>
      <c r="G458" s="405"/>
      <c r="H458" s="554"/>
      <c r="I458" s="493">
        <f>I459+I462+I465+I471</f>
        <v>920583500</v>
      </c>
      <c r="J458" s="493">
        <f t="shared" ref="J458:K458" si="190">J459+J462+J465+J471</f>
        <v>756849120</v>
      </c>
      <c r="K458" s="493">
        <f t="shared" si="190"/>
        <v>187659200</v>
      </c>
      <c r="L458" s="520">
        <f t="shared" si="187"/>
        <v>82.214065318355154</v>
      </c>
      <c r="M458" s="520">
        <f t="shared" si="188"/>
        <v>403.31042656048839</v>
      </c>
    </row>
    <row r="459" spans="1:13" ht="39">
      <c r="A459" s="434" t="s">
        <v>12</v>
      </c>
      <c r="B459" s="435" t="s">
        <v>469</v>
      </c>
      <c r="C459" s="405"/>
      <c r="D459" s="405"/>
      <c r="E459" s="405"/>
      <c r="F459" s="405"/>
      <c r="G459" s="405"/>
      <c r="H459" s="554"/>
      <c r="I459" s="492">
        <f t="shared" ref="I459:K459" si="191">I460</f>
        <v>504483500</v>
      </c>
      <c r="J459" s="492">
        <f t="shared" si="191"/>
        <v>385253052</v>
      </c>
      <c r="K459" s="568">
        <f t="shared" si="191"/>
        <v>1860000</v>
      </c>
      <c r="L459" s="520">
        <f t="shared" si="187"/>
        <v>76.365837931270292</v>
      </c>
      <c r="M459" s="520">
        <f t="shared" si="188"/>
        <v>20712.529677419356</v>
      </c>
    </row>
    <row r="460" spans="1:13" ht="150">
      <c r="A460" s="436" t="s">
        <v>14</v>
      </c>
      <c r="B460" s="437" t="s">
        <v>379</v>
      </c>
      <c r="C460" s="405"/>
      <c r="D460" s="405"/>
      <c r="E460" s="405"/>
      <c r="F460" s="405"/>
      <c r="G460" s="405"/>
      <c r="H460" s="554"/>
      <c r="I460" s="490">
        <f t="shared" ref="I460:K460" si="192">+I461</f>
        <v>504483500</v>
      </c>
      <c r="J460" s="490">
        <f t="shared" si="192"/>
        <v>385253052</v>
      </c>
      <c r="K460" s="566">
        <f t="shared" si="192"/>
        <v>1860000</v>
      </c>
      <c r="L460" s="520">
        <f t="shared" si="187"/>
        <v>76.365837931270292</v>
      </c>
      <c r="M460" s="520">
        <f t="shared" si="188"/>
        <v>20712.529677419356</v>
      </c>
    </row>
    <row r="461" spans="1:13" ht="18.75">
      <c r="A461" s="442"/>
      <c r="B461" s="447" t="s">
        <v>380</v>
      </c>
      <c r="C461" s="405"/>
      <c r="D461" s="405"/>
      <c r="E461" s="405"/>
      <c r="F461" s="405"/>
      <c r="G461" s="405"/>
      <c r="H461" s="554"/>
      <c r="I461" s="593">
        <f>154483500+350000000</f>
        <v>504483500</v>
      </c>
      <c r="J461" s="474">
        <v>385253052</v>
      </c>
      <c r="K461" s="565">
        <v>1860000</v>
      </c>
      <c r="L461" s="520">
        <f t="shared" si="187"/>
        <v>76.365837931270292</v>
      </c>
      <c r="M461" s="520">
        <f t="shared" si="188"/>
        <v>20712.529677419356</v>
      </c>
    </row>
    <row r="462" spans="1:13" ht="39">
      <c r="A462" s="434" t="s">
        <v>13</v>
      </c>
      <c r="B462" s="435" t="s">
        <v>468</v>
      </c>
      <c r="C462" s="405"/>
      <c r="D462" s="405"/>
      <c r="E462" s="405"/>
      <c r="F462" s="405"/>
      <c r="G462" s="405"/>
      <c r="H462" s="554"/>
      <c r="I462" s="492">
        <f t="shared" ref="I462:K462" si="193">I463</f>
        <v>25000000</v>
      </c>
      <c r="J462" s="492">
        <f t="shared" si="193"/>
        <v>24550000</v>
      </c>
      <c r="K462" s="568">
        <f t="shared" si="193"/>
        <v>0</v>
      </c>
      <c r="L462" s="521">
        <f t="shared" si="187"/>
        <v>98.2</v>
      </c>
      <c r="M462" s="521" t="e">
        <f t="shared" si="188"/>
        <v>#DIV/0!</v>
      </c>
    </row>
    <row r="463" spans="1:13" ht="56.25">
      <c r="A463" s="436"/>
      <c r="B463" s="437" t="s">
        <v>185</v>
      </c>
      <c r="C463" s="405"/>
      <c r="D463" s="405"/>
      <c r="E463" s="405"/>
      <c r="F463" s="405"/>
      <c r="G463" s="405"/>
      <c r="H463" s="554"/>
      <c r="I463" s="490">
        <f t="shared" ref="I463:K463" si="194">SUM(I464:I464)</f>
        <v>25000000</v>
      </c>
      <c r="J463" s="490">
        <f t="shared" si="194"/>
        <v>24550000</v>
      </c>
      <c r="K463" s="566">
        <f t="shared" si="194"/>
        <v>0</v>
      </c>
      <c r="L463" s="521">
        <f t="shared" si="187"/>
        <v>98.2</v>
      </c>
      <c r="M463" s="521" t="e">
        <f t="shared" si="188"/>
        <v>#DIV/0!</v>
      </c>
    </row>
    <row r="464" spans="1:13" ht="37.5">
      <c r="A464" s="434"/>
      <c r="B464" s="447" t="s">
        <v>381</v>
      </c>
      <c r="C464" s="405"/>
      <c r="D464" s="405"/>
      <c r="E464" s="405"/>
      <c r="F464" s="405"/>
      <c r="G464" s="405"/>
      <c r="H464" s="554"/>
      <c r="I464" s="476">
        <v>25000000</v>
      </c>
      <c r="J464" s="474">
        <v>24550000</v>
      </c>
      <c r="K464" s="565">
        <v>0</v>
      </c>
      <c r="L464" s="521">
        <f t="shared" si="187"/>
        <v>98.2</v>
      </c>
      <c r="M464" s="521" t="e">
        <f t="shared" si="188"/>
        <v>#DIV/0!</v>
      </c>
    </row>
    <row r="465" spans="1:13" ht="39">
      <c r="A465" s="434" t="s">
        <v>16</v>
      </c>
      <c r="B465" s="435" t="s">
        <v>467</v>
      </c>
      <c r="C465" s="405"/>
      <c r="D465" s="405"/>
      <c r="E465" s="405"/>
      <c r="F465" s="405"/>
      <c r="G465" s="405"/>
      <c r="H465" s="554"/>
      <c r="I465" s="492">
        <f t="shared" ref="I465:K465" si="195">I466</f>
        <v>374000000</v>
      </c>
      <c r="J465" s="492">
        <f t="shared" si="195"/>
        <v>329955628</v>
      </c>
      <c r="K465" s="568">
        <f t="shared" si="195"/>
        <v>185799200</v>
      </c>
      <c r="L465" s="520">
        <f t="shared" si="187"/>
        <v>88.223429946524064</v>
      </c>
      <c r="M465" s="520">
        <f t="shared" si="188"/>
        <v>177.58721673720876</v>
      </c>
    </row>
    <row r="466" spans="1:13" ht="56.25">
      <c r="A466" s="436"/>
      <c r="B466" s="437" t="s">
        <v>191</v>
      </c>
      <c r="C466" s="405"/>
      <c r="D466" s="405"/>
      <c r="E466" s="405"/>
      <c r="F466" s="405"/>
      <c r="G466" s="405"/>
      <c r="H466" s="554"/>
      <c r="I466" s="490">
        <f t="shared" ref="I466:K466" si="196">SUM(I467:I470)</f>
        <v>374000000</v>
      </c>
      <c r="J466" s="490">
        <f t="shared" si="196"/>
        <v>329955628</v>
      </c>
      <c r="K466" s="566">
        <f t="shared" si="196"/>
        <v>185799200</v>
      </c>
      <c r="L466" s="520">
        <f t="shared" si="187"/>
        <v>88.223429946524064</v>
      </c>
      <c r="M466" s="520">
        <f t="shared" si="188"/>
        <v>177.58721673720876</v>
      </c>
    </row>
    <row r="467" spans="1:13" ht="37.5">
      <c r="A467" s="434"/>
      <c r="B467" s="447" t="s">
        <v>388</v>
      </c>
      <c r="C467" s="405"/>
      <c r="D467" s="405"/>
      <c r="E467" s="405"/>
      <c r="F467" s="405"/>
      <c r="G467" s="405"/>
      <c r="H467" s="554"/>
      <c r="I467" s="476">
        <v>313000000</v>
      </c>
      <c r="J467" s="474">
        <v>313000000</v>
      </c>
      <c r="K467" s="565">
        <v>136735200</v>
      </c>
      <c r="L467" s="521">
        <f t="shared" si="187"/>
        <v>100</v>
      </c>
      <c r="M467" s="521">
        <f t="shared" si="188"/>
        <v>228.90960045401621</v>
      </c>
    </row>
    <row r="468" spans="1:13" ht="56.25">
      <c r="A468" s="434"/>
      <c r="B468" s="447" t="s">
        <v>389</v>
      </c>
      <c r="C468" s="405"/>
      <c r="D468" s="405"/>
      <c r="E468" s="405"/>
      <c r="F468" s="405"/>
      <c r="G468" s="405"/>
      <c r="H468" s="554"/>
      <c r="I468" s="476">
        <v>35000000</v>
      </c>
      <c r="J468" s="474">
        <v>16955628</v>
      </c>
      <c r="K468" s="565">
        <v>8220000</v>
      </c>
      <c r="L468" s="520">
        <f t="shared" si="187"/>
        <v>48.444651428571426</v>
      </c>
      <c r="M468" s="520">
        <f t="shared" si="188"/>
        <v>206.27284671532848</v>
      </c>
    </row>
    <row r="469" spans="1:13" ht="56.25">
      <c r="A469" s="434"/>
      <c r="B469" s="447" t="s">
        <v>734</v>
      </c>
      <c r="C469" s="405"/>
      <c r="D469" s="405"/>
      <c r="E469" s="405"/>
      <c r="F469" s="405"/>
      <c r="G469" s="405"/>
      <c r="H469" s="554"/>
      <c r="I469" s="476">
        <v>0</v>
      </c>
      <c r="J469" s="474"/>
      <c r="K469" s="565">
        <v>14844000</v>
      </c>
      <c r="L469" s="521" t="e">
        <f t="shared" si="187"/>
        <v>#DIV/0!</v>
      </c>
      <c r="M469" s="521">
        <f t="shared" si="188"/>
        <v>0</v>
      </c>
    </row>
    <row r="470" spans="1:13" ht="37.5">
      <c r="A470" s="434"/>
      <c r="B470" s="447" t="s">
        <v>390</v>
      </c>
      <c r="C470" s="405"/>
      <c r="D470" s="405"/>
      <c r="E470" s="405"/>
      <c r="F470" s="405"/>
      <c r="G470" s="405"/>
      <c r="H470" s="554"/>
      <c r="I470" s="476">
        <v>26000000</v>
      </c>
      <c r="J470" s="474"/>
      <c r="K470" s="565">
        <v>26000000</v>
      </c>
      <c r="L470" s="520">
        <f t="shared" si="187"/>
        <v>0</v>
      </c>
      <c r="M470" s="521">
        <f t="shared" si="188"/>
        <v>0</v>
      </c>
    </row>
    <row r="471" spans="1:13" ht="33">
      <c r="A471" s="434" t="s">
        <v>26</v>
      </c>
      <c r="B471" s="643" t="s">
        <v>764</v>
      </c>
      <c r="C471" s="405"/>
      <c r="D471" s="405"/>
      <c r="E471" s="405"/>
      <c r="F471" s="405"/>
      <c r="G471" s="405"/>
      <c r="H471" s="554"/>
      <c r="I471" s="645">
        <f t="shared" ref="I471:K472" si="197">+I472</f>
        <v>17100000</v>
      </c>
      <c r="J471" s="645">
        <f t="shared" si="197"/>
        <v>17090440</v>
      </c>
      <c r="K471" s="645">
        <f t="shared" si="197"/>
        <v>0</v>
      </c>
      <c r="L471" s="520"/>
      <c r="M471" s="521"/>
    </row>
    <row r="472" spans="1:13" ht="49.5">
      <c r="A472" s="434"/>
      <c r="B472" s="644" t="s">
        <v>191</v>
      </c>
      <c r="C472" s="405"/>
      <c r="D472" s="405"/>
      <c r="E472" s="405"/>
      <c r="F472" s="405"/>
      <c r="G472" s="405"/>
      <c r="H472" s="554"/>
      <c r="I472" s="646">
        <f t="shared" si="197"/>
        <v>17100000</v>
      </c>
      <c r="J472" s="646">
        <f t="shared" si="197"/>
        <v>17090440</v>
      </c>
      <c r="K472" s="646">
        <f t="shared" si="197"/>
        <v>0</v>
      </c>
      <c r="L472" s="520"/>
      <c r="M472" s="521"/>
    </row>
    <row r="473" spans="1:13" ht="33">
      <c r="A473" s="434"/>
      <c r="B473" s="644" t="s">
        <v>765</v>
      </c>
      <c r="C473" s="405"/>
      <c r="D473" s="405"/>
      <c r="E473" s="405"/>
      <c r="F473" s="405"/>
      <c r="G473" s="405"/>
      <c r="H473" s="554"/>
      <c r="I473" s="647">
        <v>17100000</v>
      </c>
      <c r="J473" s="474">
        <v>17090440</v>
      </c>
      <c r="K473" s="565"/>
      <c r="L473" s="520"/>
      <c r="M473" s="521"/>
    </row>
    <row r="474" spans="1:13" ht="18.75">
      <c r="A474" s="459" t="s">
        <v>5</v>
      </c>
      <c r="B474" s="460" t="s">
        <v>303</v>
      </c>
      <c r="C474" s="405"/>
      <c r="D474" s="405"/>
      <c r="E474" s="405"/>
      <c r="F474" s="405"/>
      <c r="G474" s="405"/>
      <c r="H474" s="554"/>
      <c r="I474" s="498">
        <f t="shared" ref="I474:K475" si="198">I475</f>
        <v>5000000</v>
      </c>
      <c r="J474" s="498">
        <f t="shared" si="198"/>
        <v>3013200</v>
      </c>
      <c r="K474" s="574">
        <f t="shared" si="198"/>
        <v>9337870</v>
      </c>
      <c r="L474" s="520">
        <f t="shared" si="187"/>
        <v>60.263999999999996</v>
      </c>
      <c r="M474" s="520">
        <f t="shared" si="188"/>
        <v>32.268600869363141</v>
      </c>
    </row>
    <row r="475" spans="1:13" ht="37.5">
      <c r="A475" s="427" t="s">
        <v>11</v>
      </c>
      <c r="B475" s="420" t="s">
        <v>106</v>
      </c>
      <c r="C475" s="405"/>
      <c r="D475" s="405"/>
      <c r="E475" s="405"/>
      <c r="F475" s="405"/>
      <c r="G475" s="405"/>
      <c r="H475" s="554"/>
      <c r="I475" s="488">
        <f t="shared" si="198"/>
        <v>5000000</v>
      </c>
      <c r="J475" s="488">
        <f t="shared" si="198"/>
        <v>3013200</v>
      </c>
      <c r="K475" s="563">
        <f t="shared" si="198"/>
        <v>9337870</v>
      </c>
      <c r="L475" s="520">
        <f t="shared" si="187"/>
        <v>60.263999999999996</v>
      </c>
      <c r="M475" s="520">
        <f t="shared" si="188"/>
        <v>32.268600869363141</v>
      </c>
    </row>
    <row r="476" spans="1:13" ht="39">
      <c r="A476" s="434"/>
      <c r="B476" s="435" t="s">
        <v>466</v>
      </c>
      <c r="C476" s="405"/>
      <c r="D476" s="405"/>
      <c r="E476" s="405"/>
      <c r="F476" s="405"/>
      <c r="G476" s="405"/>
      <c r="H476" s="554"/>
      <c r="I476" s="487">
        <f t="shared" ref="I476:K476" si="199">I478</f>
        <v>5000000</v>
      </c>
      <c r="J476" s="487">
        <f t="shared" si="199"/>
        <v>3013200</v>
      </c>
      <c r="K476" s="562">
        <f t="shared" si="199"/>
        <v>9337870</v>
      </c>
      <c r="L476" s="520">
        <f t="shared" si="187"/>
        <v>60.263999999999996</v>
      </c>
      <c r="M476" s="520">
        <f t="shared" si="188"/>
        <v>32.268600869363141</v>
      </c>
    </row>
    <row r="477" spans="1:13" ht="78">
      <c r="A477" s="434"/>
      <c r="B477" s="435" t="s">
        <v>191</v>
      </c>
      <c r="C477" s="405"/>
      <c r="D477" s="405"/>
      <c r="E477" s="405"/>
      <c r="F477" s="405"/>
      <c r="G477" s="405"/>
      <c r="H477" s="554"/>
      <c r="I477" s="487">
        <f t="shared" ref="I477:K477" si="200">+I478</f>
        <v>5000000</v>
      </c>
      <c r="J477" s="487">
        <f t="shared" si="200"/>
        <v>3013200</v>
      </c>
      <c r="K477" s="562">
        <f t="shared" si="200"/>
        <v>9337870</v>
      </c>
      <c r="L477" s="520">
        <f t="shared" si="187"/>
        <v>60.263999999999996</v>
      </c>
      <c r="M477" s="520">
        <f t="shared" si="188"/>
        <v>32.268600869363141</v>
      </c>
    </row>
    <row r="478" spans="1:13" ht="56.25">
      <c r="A478" s="427"/>
      <c r="B478" s="448" t="s">
        <v>232</v>
      </c>
      <c r="C478" s="405"/>
      <c r="D478" s="405"/>
      <c r="E478" s="405"/>
      <c r="F478" s="405"/>
      <c r="G478" s="405"/>
      <c r="H478" s="554"/>
      <c r="I478" s="476">
        <v>5000000</v>
      </c>
      <c r="J478" s="474">
        <v>3013200</v>
      </c>
      <c r="K478" s="565">
        <v>9337870</v>
      </c>
      <c r="L478" s="520">
        <f t="shared" si="187"/>
        <v>60.263999999999996</v>
      </c>
      <c r="M478" s="520">
        <f t="shared" si="188"/>
        <v>32.268600869363141</v>
      </c>
    </row>
    <row r="479" spans="1:13" ht="18.75">
      <c r="A479" s="459" t="s">
        <v>90</v>
      </c>
      <c r="B479" s="460" t="s">
        <v>304</v>
      </c>
      <c r="C479" s="405"/>
      <c r="D479" s="405"/>
      <c r="E479" s="405"/>
      <c r="F479" s="405"/>
      <c r="G479" s="405"/>
      <c r="H479" s="554"/>
      <c r="I479" s="498">
        <f t="shared" ref="I479:K479" si="201">I480</f>
        <v>10000000</v>
      </c>
      <c r="J479" s="498">
        <f t="shared" si="201"/>
        <v>10000000</v>
      </c>
      <c r="K479" s="574">
        <f t="shared" si="201"/>
        <v>27900000</v>
      </c>
      <c r="L479" s="521">
        <f t="shared" si="187"/>
        <v>100</v>
      </c>
      <c r="M479" s="521">
        <f t="shared" si="188"/>
        <v>35.842293906810035</v>
      </c>
    </row>
    <row r="480" spans="1:13" ht="37.5">
      <c r="A480" s="427" t="s">
        <v>11</v>
      </c>
      <c r="B480" s="420" t="s">
        <v>106</v>
      </c>
      <c r="C480" s="405"/>
      <c r="D480" s="405"/>
      <c r="E480" s="405"/>
      <c r="F480" s="405"/>
      <c r="G480" s="405"/>
      <c r="H480" s="554"/>
      <c r="I480" s="472">
        <f t="shared" ref="I480:K480" si="202">I483</f>
        <v>10000000</v>
      </c>
      <c r="J480" s="472">
        <f t="shared" si="202"/>
        <v>10000000</v>
      </c>
      <c r="K480" s="558">
        <f t="shared" si="202"/>
        <v>27900000</v>
      </c>
      <c r="L480" s="521">
        <f t="shared" si="187"/>
        <v>100</v>
      </c>
      <c r="M480" s="521">
        <f t="shared" si="188"/>
        <v>35.842293906810035</v>
      </c>
    </row>
    <row r="481" spans="1:13" ht="39">
      <c r="A481" s="434"/>
      <c r="B481" s="435" t="s">
        <v>466</v>
      </c>
      <c r="C481" s="405"/>
      <c r="D481" s="405"/>
      <c r="E481" s="405"/>
      <c r="F481" s="405"/>
      <c r="G481" s="405"/>
      <c r="H481" s="554"/>
      <c r="I481" s="473">
        <f t="shared" ref="I481:K481" si="203">I483</f>
        <v>10000000</v>
      </c>
      <c r="J481" s="473">
        <f t="shared" si="203"/>
        <v>10000000</v>
      </c>
      <c r="K481" s="567">
        <f t="shared" si="203"/>
        <v>27900000</v>
      </c>
      <c r="L481" s="521">
        <f t="shared" si="187"/>
        <v>100</v>
      </c>
      <c r="M481" s="521">
        <f t="shared" si="188"/>
        <v>35.842293906810035</v>
      </c>
    </row>
    <row r="482" spans="1:13" ht="78">
      <c r="A482" s="434"/>
      <c r="B482" s="435" t="s">
        <v>191</v>
      </c>
      <c r="C482" s="405"/>
      <c r="D482" s="405"/>
      <c r="E482" s="405"/>
      <c r="F482" s="405"/>
      <c r="G482" s="405"/>
      <c r="H482" s="554"/>
      <c r="I482" s="473">
        <f t="shared" ref="I482:K482" si="204">+I483</f>
        <v>10000000</v>
      </c>
      <c r="J482" s="473">
        <f t="shared" si="204"/>
        <v>10000000</v>
      </c>
      <c r="K482" s="567">
        <f t="shared" si="204"/>
        <v>27900000</v>
      </c>
      <c r="L482" s="521">
        <f t="shared" si="187"/>
        <v>100</v>
      </c>
      <c r="M482" s="521">
        <f t="shared" si="188"/>
        <v>35.842293906810035</v>
      </c>
    </row>
    <row r="483" spans="1:13" ht="56.25">
      <c r="A483" s="436"/>
      <c r="B483" s="448" t="s">
        <v>232</v>
      </c>
      <c r="C483" s="405"/>
      <c r="D483" s="405"/>
      <c r="E483" s="405"/>
      <c r="F483" s="405"/>
      <c r="G483" s="405"/>
      <c r="H483" s="554"/>
      <c r="I483" s="476">
        <v>10000000</v>
      </c>
      <c r="J483" s="474">
        <v>10000000</v>
      </c>
      <c r="K483" s="565">
        <v>27900000</v>
      </c>
      <c r="L483" s="521">
        <f t="shared" si="187"/>
        <v>100</v>
      </c>
      <c r="M483" s="521">
        <f t="shared" si="188"/>
        <v>35.842293906810035</v>
      </c>
    </row>
    <row r="484" spans="1:13" ht="18.75">
      <c r="A484" s="459" t="s">
        <v>101</v>
      </c>
      <c r="B484" s="460" t="s">
        <v>305</v>
      </c>
      <c r="C484" s="405"/>
      <c r="D484" s="405"/>
      <c r="E484" s="405"/>
      <c r="F484" s="405"/>
      <c r="G484" s="405"/>
      <c r="H484" s="554"/>
      <c r="I484" s="498">
        <f t="shared" ref="I484:K484" si="205">I485</f>
        <v>10000000</v>
      </c>
      <c r="J484" s="498">
        <f t="shared" si="205"/>
        <v>10000000</v>
      </c>
      <c r="K484" s="574">
        <f t="shared" si="205"/>
        <v>9039064</v>
      </c>
      <c r="L484" s="521">
        <f t="shared" si="187"/>
        <v>100</v>
      </c>
      <c r="M484" s="521">
        <f t="shared" si="188"/>
        <v>110.63092373281127</v>
      </c>
    </row>
    <row r="485" spans="1:13" ht="37.5">
      <c r="A485" s="427" t="s">
        <v>11</v>
      </c>
      <c r="B485" s="420" t="s">
        <v>106</v>
      </c>
      <c r="C485" s="405"/>
      <c r="D485" s="405"/>
      <c r="E485" s="405"/>
      <c r="F485" s="405"/>
      <c r="G485" s="405"/>
      <c r="H485" s="554"/>
      <c r="I485" s="472">
        <f t="shared" ref="I485:K485" si="206">I488</f>
        <v>10000000</v>
      </c>
      <c r="J485" s="472">
        <f t="shared" si="206"/>
        <v>10000000</v>
      </c>
      <c r="K485" s="558">
        <f t="shared" si="206"/>
        <v>9039064</v>
      </c>
      <c r="L485" s="521">
        <f t="shared" si="187"/>
        <v>100</v>
      </c>
      <c r="M485" s="521">
        <f t="shared" si="188"/>
        <v>110.63092373281127</v>
      </c>
    </row>
    <row r="486" spans="1:13" ht="39">
      <c r="A486" s="434"/>
      <c r="B486" s="435" t="s">
        <v>466</v>
      </c>
      <c r="C486" s="405"/>
      <c r="D486" s="405"/>
      <c r="E486" s="405"/>
      <c r="F486" s="405"/>
      <c r="G486" s="405"/>
      <c r="H486" s="554"/>
      <c r="I486" s="473">
        <f t="shared" ref="I486:K486" si="207">I488</f>
        <v>10000000</v>
      </c>
      <c r="J486" s="473">
        <f t="shared" si="207"/>
        <v>10000000</v>
      </c>
      <c r="K486" s="567">
        <f t="shared" si="207"/>
        <v>9039064</v>
      </c>
      <c r="L486" s="521">
        <f t="shared" si="187"/>
        <v>100</v>
      </c>
      <c r="M486" s="521">
        <f t="shared" si="188"/>
        <v>110.63092373281127</v>
      </c>
    </row>
    <row r="487" spans="1:13" ht="78">
      <c r="A487" s="434"/>
      <c r="B487" s="435" t="s">
        <v>191</v>
      </c>
      <c r="C487" s="405"/>
      <c r="D487" s="405"/>
      <c r="E487" s="405"/>
      <c r="F487" s="405"/>
      <c r="G487" s="405"/>
      <c r="H487" s="554"/>
      <c r="I487" s="473">
        <f t="shared" ref="I487:K487" si="208">+I488</f>
        <v>10000000</v>
      </c>
      <c r="J487" s="473">
        <f t="shared" si="208"/>
        <v>10000000</v>
      </c>
      <c r="K487" s="567">
        <f t="shared" si="208"/>
        <v>9039064</v>
      </c>
      <c r="L487" s="521">
        <f t="shared" si="187"/>
        <v>100</v>
      </c>
      <c r="M487" s="521">
        <f t="shared" si="188"/>
        <v>110.63092373281127</v>
      </c>
    </row>
    <row r="488" spans="1:13" ht="56.25">
      <c r="A488" s="427"/>
      <c r="B488" s="448" t="s">
        <v>232</v>
      </c>
      <c r="C488" s="405"/>
      <c r="D488" s="405"/>
      <c r="E488" s="405"/>
      <c r="F488" s="405"/>
      <c r="G488" s="405"/>
      <c r="H488" s="554"/>
      <c r="I488" s="476">
        <v>10000000</v>
      </c>
      <c r="J488" s="474">
        <v>10000000</v>
      </c>
      <c r="K488" s="565">
        <v>9039064</v>
      </c>
      <c r="L488" s="521">
        <f t="shared" si="187"/>
        <v>100</v>
      </c>
      <c r="M488" s="521">
        <f t="shared" si="188"/>
        <v>110.63092373281127</v>
      </c>
    </row>
    <row r="489" spans="1:13" ht="18.75">
      <c r="A489" s="459" t="s">
        <v>102</v>
      </c>
      <c r="B489" s="460" t="s">
        <v>306</v>
      </c>
      <c r="C489" s="405"/>
      <c r="D489" s="405"/>
      <c r="E489" s="405"/>
      <c r="F489" s="405"/>
      <c r="G489" s="405"/>
      <c r="H489" s="554"/>
      <c r="I489" s="498">
        <f t="shared" ref="I489:K490" si="209">I490</f>
        <v>10000000</v>
      </c>
      <c r="J489" s="498">
        <f t="shared" si="209"/>
        <v>5480000</v>
      </c>
      <c r="K489" s="574">
        <f t="shared" si="209"/>
        <v>9600000</v>
      </c>
      <c r="L489" s="520">
        <f t="shared" si="187"/>
        <v>54.800000000000004</v>
      </c>
      <c r="M489" s="521">
        <f t="shared" si="188"/>
        <v>57.083333333333329</v>
      </c>
    </row>
    <row r="490" spans="1:13" ht="37.5">
      <c r="A490" s="427" t="s">
        <v>11</v>
      </c>
      <c r="B490" s="420" t="s">
        <v>106</v>
      </c>
      <c r="C490" s="405"/>
      <c r="D490" s="405"/>
      <c r="E490" s="405"/>
      <c r="F490" s="405"/>
      <c r="G490" s="405"/>
      <c r="H490" s="554"/>
      <c r="I490" s="472">
        <f t="shared" si="209"/>
        <v>10000000</v>
      </c>
      <c r="J490" s="472">
        <f t="shared" si="209"/>
        <v>5480000</v>
      </c>
      <c r="K490" s="558">
        <f t="shared" si="209"/>
        <v>9600000</v>
      </c>
      <c r="L490" s="520">
        <f t="shared" si="187"/>
        <v>54.800000000000004</v>
      </c>
      <c r="M490" s="521">
        <f t="shared" si="188"/>
        <v>57.083333333333329</v>
      </c>
    </row>
    <row r="491" spans="1:13" ht="39">
      <c r="A491" s="434"/>
      <c r="B491" s="435" t="s">
        <v>466</v>
      </c>
      <c r="C491" s="405"/>
      <c r="D491" s="405"/>
      <c r="E491" s="405"/>
      <c r="F491" s="405"/>
      <c r="G491" s="405"/>
      <c r="H491" s="554"/>
      <c r="I491" s="473">
        <f t="shared" ref="I491:K491" si="210">I493</f>
        <v>10000000</v>
      </c>
      <c r="J491" s="473">
        <f t="shared" si="210"/>
        <v>5480000</v>
      </c>
      <c r="K491" s="567">
        <f t="shared" si="210"/>
        <v>9600000</v>
      </c>
      <c r="L491" s="520">
        <f t="shared" si="187"/>
        <v>54.800000000000004</v>
      </c>
      <c r="M491" s="521">
        <f t="shared" si="188"/>
        <v>57.083333333333329</v>
      </c>
    </row>
    <row r="492" spans="1:13" ht="78.75" thickBot="1">
      <c r="A492" s="434"/>
      <c r="B492" s="435" t="s">
        <v>191</v>
      </c>
      <c r="C492" s="405"/>
      <c r="D492" s="405"/>
      <c r="E492" s="405"/>
      <c r="F492" s="405"/>
      <c r="G492" s="405"/>
      <c r="H492" s="554"/>
      <c r="I492" s="473">
        <f t="shared" ref="I492:K492" si="211">+I493</f>
        <v>10000000</v>
      </c>
      <c r="J492" s="473">
        <f t="shared" si="211"/>
        <v>5480000</v>
      </c>
      <c r="K492" s="567">
        <f t="shared" si="211"/>
        <v>9600000</v>
      </c>
      <c r="L492" s="520">
        <f t="shared" si="187"/>
        <v>54.800000000000004</v>
      </c>
      <c r="M492" s="521">
        <f t="shared" si="188"/>
        <v>57.083333333333329</v>
      </c>
    </row>
    <row r="493" spans="1:13" ht="57" thickBot="1">
      <c r="A493" s="436"/>
      <c r="B493" s="448" t="s">
        <v>232</v>
      </c>
      <c r="C493" s="405"/>
      <c r="D493" s="405"/>
      <c r="E493" s="405"/>
      <c r="F493" s="405"/>
      <c r="G493" s="405"/>
      <c r="H493" s="554"/>
      <c r="I493" s="476">
        <v>10000000</v>
      </c>
      <c r="J493" s="592">
        <v>5480000</v>
      </c>
      <c r="K493" s="565">
        <v>9600000</v>
      </c>
      <c r="L493" s="520">
        <f t="shared" si="187"/>
        <v>54.800000000000004</v>
      </c>
      <c r="M493" s="521">
        <f t="shared" si="188"/>
        <v>57.083333333333329</v>
      </c>
    </row>
    <row r="494" spans="1:13" ht="18.75">
      <c r="A494" s="432" t="s">
        <v>103</v>
      </c>
      <c r="B494" s="433" t="s">
        <v>307</v>
      </c>
      <c r="C494" s="405"/>
      <c r="D494" s="405"/>
      <c r="E494" s="405"/>
      <c r="F494" s="405"/>
      <c r="G494" s="405"/>
      <c r="H494" s="554"/>
      <c r="I494" s="499">
        <f t="shared" ref="I494:K494" si="212">I495</f>
        <v>10000000</v>
      </c>
      <c r="J494" s="499">
        <f t="shared" si="212"/>
        <v>9940000</v>
      </c>
      <c r="K494" s="575">
        <f t="shared" si="212"/>
        <v>10000000</v>
      </c>
      <c r="L494" s="521">
        <f t="shared" si="187"/>
        <v>99.4</v>
      </c>
      <c r="M494" s="521">
        <f t="shared" si="188"/>
        <v>99.4</v>
      </c>
    </row>
    <row r="495" spans="1:13" ht="37.5">
      <c r="A495" s="427" t="s">
        <v>11</v>
      </c>
      <c r="B495" s="420" t="s">
        <v>106</v>
      </c>
      <c r="C495" s="405"/>
      <c r="D495" s="405"/>
      <c r="E495" s="405"/>
      <c r="F495" s="405"/>
      <c r="G495" s="405"/>
      <c r="H495" s="554"/>
      <c r="I495" s="472">
        <f t="shared" ref="I495:K495" si="213">+I496+I499</f>
        <v>10000000</v>
      </c>
      <c r="J495" s="472">
        <f t="shared" si="213"/>
        <v>9940000</v>
      </c>
      <c r="K495" s="558">
        <f t="shared" si="213"/>
        <v>10000000</v>
      </c>
      <c r="L495" s="521">
        <f t="shared" si="187"/>
        <v>99.4</v>
      </c>
      <c r="M495" s="521">
        <f t="shared" si="188"/>
        <v>99.4</v>
      </c>
    </row>
    <row r="496" spans="1:13" ht="39">
      <c r="A496" s="464" t="s">
        <v>663</v>
      </c>
      <c r="B496" s="435" t="s">
        <v>466</v>
      </c>
      <c r="C496" s="405"/>
      <c r="D496" s="405"/>
      <c r="E496" s="405"/>
      <c r="F496" s="405"/>
      <c r="G496" s="405"/>
      <c r="H496" s="554"/>
      <c r="I496" s="473">
        <f t="shared" ref="I496:K496" si="214">I498</f>
        <v>10000000</v>
      </c>
      <c r="J496" s="473">
        <f t="shared" si="214"/>
        <v>9940000</v>
      </c>
      <c r="K496" s="567">
        <f t="shared" si="214"/>
        <v>10000000</v>
      </c>
      <c r="L496" s="521">
        <f t="shared" si="187"/>
        <v>99.4</v>
      </c>
      <c r="M496" s="521">
        <f t="shared" si="188"/>
        <v>99.4</v>
      </c>
    </row>
    <row r="497" spans="1:13" ht="78">
      <c r="A497" s="434"/>
      <c r="B497" s="435" t="s">
        <v>191</v>
      </c>
      <c r="C497" s="405"/>
      <c r="D497" s="405"/>
      <c r="E497" s="405"/>
      <c r="F497" s="405"/>
      <c r="G497" s="405"/>
      <c r="H497" s="554"/>
      <c r="I497" s="473">
        <f t="shared" ref="I497:K497" si="215">+I498</f>
        <v>10000000</v>
      </c>
      <c r="J497" s="473">
        <f t="shared" si="215"/>
        <v>9940000</v>
      </c>
      <c r="K497" s="567">
        <f t="shared" si="215"/>
        <v>10000000</v>
      </c>
      <c r="L497" s="521">
        <f t="shared" si="187"/>
        <v>99.4</v>
      </c>
      <c r="M497" s="521">
        <f t="shared" si="188"/>
        <v>99.4</v>
      </c>
    </row>
    <row r="498" spans="1:13" ht="56.25">
      <c r="A498" s="436"/>
      <c r="B498" s="448" t="s">
        <v>232</v>
      </c>
      <c r="C498" s="405"/>
      <c r="D498" s="405"/>
      <c r="E498" s="405"/>
      <c r="F498" s="405"/>
      <c r="G498" s="405"/>
      <c r="H498" s="554"/>
      <c r="I498" s="476">
        <v>10000000</v>
      </c>
      <c r="J498" s="474">
        <v>9940000</v>
      </c>
      <c r="K498" s="565">
        <v>10000000</v>
      </c>
      <c r="L498" s="521">
        <f t="shared" si="187"/>
        <v>99.4</v>
      </c>
      <c r="M498" s="521">
        <f t="shared" si="188"/>
        <v>99.4</v>
      </c>
    </row>
    <row r="499" spans="1:13" ht="39">
      <c r="A499" s="464" t="s">
        <v>663</v>
      </c>
      <c r="B499" s="435" t="s">
        <v>735</v>
      </c>
      <c r="C499" s="405"/>
      <c r="D499" s="405"/>
      <c r="E499" s="405"/>
      <c r="F499" s="405"/>
      <c r="G499" s="405"/>
      <c r="H499" s="554"/>
      <c r="I499" s="473">
        <f t="shared" ref="I499:K499" si="216">+I500</f>
        <v>0</v>
      </c>
      <c r="J499" s="473">
        <f t="shared" si="216"/>
        <v>0</v>
      </c>
      <c r="K499" s="567">
        <f t="shared" si="216"/>
        <v>0</v>
      </c>
      <c r="L499" s="521" t="e">
        <f t="shared" si="187"/>
        <v>#DIV/0!</v>
      </c>
      <c r="M499" s="521" t="e">
        <f t="shared" si="188"/>
        <v>#DIV/0!</v>
      </c>
    </row>
    <row r="500" spans="1:13" ht="37.5">
      <c r="A500" s="427"/>
      <c r="B500" s="437" t="s">
        <v>736</v>
      </c>
      <c r="C500" s="405"/>
      <c r="D500" s="405"/>
      <c r="E500" s="405"/>
      <c r="F500" s="405"/>
      <c r="G500" s="405"/>
      <c r="H500" s="554"/>
      <c r="I500" s="476">
        <v>0</v>
      </c>
      <c r="J500" s="474"/>
      <c r="K500" s="565"/>
      <c r="L500" s="521" t="e">
        <f t="shared" si="187"/>
        <v>#DIV/0!</v>
      </c>
      <c r="M500" s="521" t="e">
        <f t="shared" si="188"/>
        <v>#DIV/0!</v>
      </c>
    </row>
    <row r="501" spans="1:13" ht="37.5">
      <c r="A501" s="459" t="s">
        <v>104</v>
      </c>
      <c r="B501" s="460" t="s">
        <v>308</v>
      </c>
      <c r="C501" s="405"/>
      <c r="D501" s="405"/>
      <c r="E501" s="405"/>
      <c r="F501" s="405"/>
      <c r="G501" s="405"/>
      <c r="H501" s="554"/>
      <c r="I501" s="498">
        <f t="shared" ref="I501:K501" si="217">I502</f>
        <v>10000000</v>
      </c>
      <c r="J501" s="498">
        <f t="shared" si="217"/>
        <v>6200030</v>
      </c>
      <c r="K501" s="574">
        <f t="shared" si="217"/>
        <v>1028080040</v>
      </c>
      <c r="L501" s="521">
        <f t="shared" si="187"/>
        <v>62.000299999999996</v>
      </c>
      <c r="M501" s="521">
        <f t="shared" si="188"/>
        <v>0.60306880386472639</v>
      </c>
    </row>
    <row r="502" spans="1:13" ht="37.5">
      <c r="A502" s="427" t="s">
        <v>11</v>
      </c>
      <c r="B502" s="420" t="s">
        <v>106</v>
      </c>
      <c r="C502" s="405"/>
      <c r="D502" s="405"/>
      <c r="E502" s="405"/>
      <c r="F502" s="405"/>
      <c r="G502" s="405"/>
      <c r="H502" s="554"/>
      <c r="I502" s="493">
        <f t="shared" ref="I502:K503" si="218">+I503</f>
        <v>10000000</v>
      </c>
      <c r="J502" s="493">
        <f t="shared" si="218"/>
        <v>6200030</v>
      </c>
      <c r="K502" s="569">
        <f t="shared" si="218"/>
        <v>1028080040</v>
      </c>
      <c r="L502" s="521">
        <f t="shared" si="187"/>
        <v>62.000299999999996</v>
      </c>
      <c r="M502" s="521">
        <f t="shared" si="188"/>
        <v>0.60306880386472639</v>
      </c>
    </row>
    <row r="503" spans="1:13" ht="39">
      <c r="A503" s="434"/>
      <c r="B503" s="435" t="s">
        <v>466</v>
      </c>
      <c r="C503" s="405"/>
      <c r="D503" s="405"/>
      <c r="E503" s="405"/>
      <c r="F503" s="405"/>
      <c r="G503" s="405"/>
      <c r="H503" s="554"/>
      <c r="I503" s="473">
        <f t="shared" si="218"/>
        <v>10000000</v>
      </c>
      <c r="J503" s="473">
        <f t="shared" si="218"/>
        <v>6200030</v>
      </c>
      <c r="K503" s="567">
        <f t="shared" si="218"/>
        <v>1028080040</v>
      </c>
      <c r="L503" s="521">
        <f t="shared" si="187"/>
        <v>62.000299999999996</v>
      </c>
      <c r="M503" s="521">
        <f t="shared" si="188"/>
        <v>0.60306880386472639</v>
      </c>
    </row>
    <row r="504" spans="1:13" ht="78">
      <c r="A504" s="434"/>
      <c r="B504" s="435" t="s">
        <v>191</v>
      </c>
      <c r="C504" s="405"/>
      <c r="D504" s="405"/>
      <c r="E504" s="405"/>
      <c r="F504" s="405"/>
      <c r="G504" s="405"/>
      <c r="H504" s="554"/>
      <c r="I504" s="473">
        <f t="shared" ref="I504:K504" si="219">+I506+I505+I507</f>
        <v>10000000</v>
      </c>
      <c r="J504" s="473">
        <f t="shared" si="219"/>
        <v>6200030</v>
      </c>
      <c r="K504" s="567">
        <f t="shared" si="219"/>
        <v>1028080040</v>
      </c>
      <c r="L504" s="521">
        <f t="shared" si="187"/>
        <v>62.000299999999996</v>
      </c>
      <c r="M504" s="521">
        <f t="shared" si="188"/>
        <v>0.60306880386472639</v>
      </c>
    </row>
    <row r="505" spans="1:13" ht="56.25">
      <c r="A505" s="436"/>
      <c r="B505" s="448" t="s">
        <v>232</v>
      </c>
      <c r="C505" s="405"/>
      <c r="D505" s="405"/>
      <c r="E505" s="405"/>
      <c r="F505" s="405"/>
      <c r="G505" s="405"/>
      <c r="H505" s="554"/>
      <c r="I505" s="476">
        <v>10000000</v>
      </c>
      <c r="J505" s="474">
        <v>6200030</v>
      </c>
      <c r="K505" s="474">
        <v>2692040</v>
      </c>
      <c r="L505" s="521">
        <f t="shared" si="187"/>
        <v>62.000299999999996</v>
      </c>
      <c r="M505" s="521">
        <f t="shared" si="188"/>
        <v>230.30972793866363</v>
      </c>
    </row>
    <row r="506" spans="1:13" ht="37.5">
      <c r="A506" s="436"/>
      <c r="B506" s="448" t="s">
        <v>737</v>
      </c>
      <c r="C506" s="405"/>
      <c r="D506" s="405"/>
      <c r="E506" s="405"/>
      <c r="F506" s="405"/>
      <c r="G506" s="405"/>
      <c r="H506" s="554"/>
      <c r="I506" s="476">
        <v>0</v>
      </c>
      <c r="J506" s="474"/>
      <c r="K506" s="474">
        <v>1025388000</v>
      </c>
      <c r="L506" s="521" t="e">
        <f t="shared" si="187"/>
        <v>#DIV/0!</v>
      </c>
      <c r="M506" s="521">
        <f t="shared" si="188"/>
        <v>0</v>
      </c>
    </row>
    <row r="507" spans="1:13" ht="37.5">
      <c r="A507" s="436"/>
      <c r="B507" s="448" t="s">
        <v>738</v>
      </c>
      <c r="C507" s="405"/>
      <c r="D507" s="405"/>
      <c r="E507" s="405"/>
      <c r="F507" s="405"/>
      <c r="G507" s="405"/>
      <c r="H507" s="554"/>
      <c r="I507" s="476"/>
      <c r="J507" s="474"/>
      <c r="K507" s="565"/>
      <c r="L507" s="521" t="e">
        <f t="shared" si="187"/>
        <v>#DIV/0!</v>
      </c>
      <c r="M507" s="521" t="e">
        <f t="shared" si="188"/>
        <v>#DIV/0!</v>
      </c>
    </row>
    <row r="508" spans="1:13" ht="18.75">
      <c r="A508" s="465" t="s">
        <v>500</v>
      </c>
      <c r="B508" s="466" t="s">
        <v>108</v>
      </c>
      <c r="C508" s="405"/>
      <c r="D508" s="405"/>
      <c r="E508" s="405"/>
      <c r="F508" s="405"/>
      <c r="G508" s="405"/>
      <c r="H508" s="554"/>
      <c r="I508" s="500">
        <f t="shared" ref="I508:K511" si="220">I509</f>
        <v>10861000000</v>
      </c>
      <c r="J508" s="500">
        <f t="shared" si="220"/>
        <v>4861248960</v>
      </c>
      <c r="K508" s="576">
        <f t="shared" si="220"/>
        <v>0</v>
      </c>
      <c r="L508" s="521">
        <f t="shared" si="187"/>
        <v>44.758760335144096</v>
      </c>
      <c r="M508" s="521" t="e">
        <f t="shared" si="188"/>
        <v>#DIV/0!</v>
      </c>
    </row>
    <row r="509" spans="1:13" ht="18.75">
      <c r="A509" s="427"/>
      <c r="B509" s="428" t="s">
        <v>309</v>
      </c>
      <c r="C509" s="405"/>
      <c r="D509" s="405"/>
      <c r="E509" s="405"/>
      <c r="F509" s="405"/>
      <c r="G509" s="405"/>
      <c r="H509" s="554"/>
      <c r="I509" s="493">
        <f t="shared" si="220"/>
        <v>10861000000</v>
      </c>
      <c r="J509" s="493">
        <f t="shared" si="220"/>
        <v>4861248960</v>
      </c>
      <c r="K509" s="569">
        <f t="shared" si="220"/>
        <v>0</v>
      </c>
      <c r="L509" s="521">
        <f t="shared" si="187"/>
        <v>44.758760335144096</v>
      </c>
      <c r="M509" s="521" t="e">
        <f t="shared" si="188"/>
        <v>#DIV/0!</v>
      </c>
    </row>
    <row r="510" spans="1:13" ht="37.5">
      <c r="A510" s="427" t="s">
        <v>11</v>
      </c>
      <c r="B510" s="420" t="s">
        <v>110</v>
      </c>
      <c r="C510" s="405"/>
      <c r="D510" s="405"/>
      <c r="E510" s="405"/>
      <c r="F510" s="405"/>
      <c r="G510" s="405"/>
      <c r="H510" s="554"/>
      <c r="I510" s="493">
        <f t="shared" si="220"/>
        <v>10861000000</v>
      </c>
      <c r="J510" s="493">
        <f t="shared" si="220"/>
        <v>4861248960</v>
      </c>
      <c r="K510" s="569">
        <f t="shared" si="220"/>
        <v>0</v>
      </c>
      <c r="L510" s="521">
        <f t="shared" si="187"/>
        <v>44.758760335144096</v>
      </c>
      <c r="M510" s="521" t="e">
        <f t="shared" si="188"/>
        <v>#DIV/0!</v>
      </c>
    </row>
    <row r="511" spans="1:13" ht="39.75" thickBot="1">
      <c r="A511" s="434"/>
      <c r="B511" s="435" t="s">
        <v>470</v>
      </c>
      <c r="C511" s="405"/>
      <c r="D511" s="405"/>
      <c r="E511" s="405"/>
      <c r="F511" s="405"/>
      <c r="G511" s="405"/>
      <c r="H511" s="554"/>
      <c r="I511" s="473">
        <f t="shared" si="220"/>
        <v>10861000000</v>
      </c>
      <c r="J511" s="473">
        <f t="shared" si="220"/>
        <v>4861248960</v>
      </c>
      <c r="K511" s="567">
        <f t="shared" si="220"/>
        <v>0</v>
      </c>
      <c r="L511" s="521">
        <f t="shared" si="187"/>
        <v>44.758760335144096</v>
      </c>
      <c r="M511" s="521" t="e">
        <f t="shared" si="188"/>
        <v>#DIV/0!</v>
      </c>
    </row>
    <row r="512" spans="1:13" ht="38.25" thickBot="1">
      <c r="A512" s="436"/>
      <c r="B512" s="437" t="s">
        <v>310</v>
      </c>
      <c r="C512" s="405"/>
      <c r="D512" s="405"/>
      <c r="E512" s="405"/>
      <c r="F512" s="405"/>
      <c r="G512" s="405"/>
      <c r="H512" s="554"/>
      <c r="I512" s="476">
        <v>10861000000</v>
      </c>
      <c r="J512" s="653">
        <v>4861248960</v>
      </c>
      <c r="K512" s="565"/>
      <c r="L512" s="521">
        <f t="shared" si="187"/>
        <v>44.758760335144096</v>
      </c>
      <c r="M512" s="521" t="e">
        <f t="shared" si="188"/>
        <v>#DIV/0!</v>
      </c>
    </row>
    <row r="513" spans="1:13" ht="56.25">
      <c r="A513" s="425" t="s">
        <v>109</v>
      </c>
      <c r="B513" s="467" t="s">
        <v>501</v>
      </c>
      <c r="C513" s="405"/>
      <c r="D513" s="405"/>
      <c r="E513" s="405"/>
      <c r="F513" s="405"/>
      <c r="G513" s="405"/>
      <c r="H513" s="554"/>
      <c r="I513" s="501">
        <f t="shared" ref="I513:K515" si="221">I514</f>
        <v>120000000</v>
      </c>
      <c r="J513" s="501">
        <f t="shared" si="221"/>
        <v>0</v>
      </c>
      <c r="K513" s="577">
        <f t="shared" si="221"/>
        <v>0</v>
      </c>
      <c r="L513" s="521">
        <f t="shared" si="187"/>
        <v>0</v>
      </c>
      <c r="M513" s="521" t="e">
        <f t="shared" si="188"/>
        <v>#DIV/0!</v>
      </c>
    </row>
    <row r="514" spans="1:13" ht="37.5">
      <c r="A514" s="427"/>
      <c r="B514" s="428" t="s">
        <v>308</v>
      </c>
      <c r="C514" s="405"/>
      <c r="D514" s="405"/>
      <c r="E514" s="405"/>
      <c r="F514" s="405"/>
      <c r="G514" s="405"/>
      <c r="H514" s="554"/>
      <c r="I514" s="493">
        <f t="shared" si="221"/>
        <v>120000000</v>
      </c>
      <c r="J514" s="493">
        <f t="shared" si="221"/>
        <v>0</v>
      </c>
      <c r="K514" s="569">
        <f t="shared" si="221"/>
        <v>0</v>
      </c>
      <c r="L514" s="521">
        <f t="shared" si="187"/>
        <v>0</v>
      </c>
      <c r="M514" s="521" t="e">
        <f t="shared" si="188"/>
        <v>#DIV/0!</v>
      </c>
    </row>
    <row r="515" spans="1:13" ht="19.5">
      <c r="A515" s="427"/>
      <c r="B515" s="422" t="s">
        <v>529</v>
      </c>
      <c r="C515" s="405"/>
      <c r="D515" s="405"/>
      <c r="E515" s="405"/>
      <c r="F515" s="405"/>
      <c r="G515" s="405"/>
      <c r="H515" s="554"/>
      <c r="I515" s="493">
        <f t="shared" si="221"/>
        <v>120000000</v>
      </c>
      <c r="J515" s="493">
        <f t="shared" si="221"/>
        <v>0</v>
      </c>
      <c r="K515" s="569">
        <f t="shared" si="221"/>
        <v>0</v>
      </c>
      <c r="L515" s="521">
        <f t="shared" si="187"/>
        <v>0</v>
      </c>
      <c r="M515" s="521" t="e">
        <f t="shared" si="188"/>
        <v>#DIV/0!</v>
      </c>
    </row>
    <row r="516" spans="1:13" ht="37.5">
      <c r="A516" s="436"/>
      <c r="B516" s="423" t="s">
        <v>502</v>
      </c>
      <c r="C516" s="405"/>
      <c r="D516" s="405"/>
      <c r="E516" s="405"/>
      <c r="F516" s="405"/>
      <c r="G516" s="405"/>
      <c r="H516" s="554"/>
      <c r="I516" s="476">
        <v>120000000</v>
      </c>
      <c r="J516" s="474"/>
      <c r="K516" s="565"/>
      <c r="L516" s="521">
        <f t="shared" si="187"/>
        <v>0</v>
      </c>
      <c r="M516" s="521" t="e">
        <f t="shared" si="188"/>
        <v>#DIV/0!</v>
      </c>
    </row>
  </sheetData>
  <autoFilter ref="A5:AC5" xr:uid="{915F72C6-20A5-424A-A360-14ABDAF4D620}"/>
  <mergeCells count="7">
    <mergeCell ref="A1:M1"/>
    <mergeCell ref="J3:J4"/>
    <mergeCell ref="K3:K4"/>
    <mergeCell ref="L3:M3"/>
    <mergeCell ref="I3:I4"/>
    <mergeCell ref="B3:B4"/>
    <mergeCell ref="A3:A4"/>
  </mergeCells>
  <printOptions horizontalCentered="1"/>
  <pageMargins left="0" right="0" top="0.43" bottom="0.36" header="0.17" footer="0.22"/>
  <pageSetup paperSize="9" scale="52" orientation="portrait" r:id="rId1"/>
  <headerFooter differentFirst="1">
    <oddHeader>&amp;CPage &amp;P</oddHeader>
  </headerFooter>
  <rowBreaks count="1" manualBreakCount="1">
    <brk id="482" max="17" man="1"/>
  </rowBreaks>
  <colBreaks count="1" manualBreakCount="1">
    <brk id="13" max="4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97"/>
  <sheetViews>
    <sheetView tabSelected="1" showRuler="0" topLeftCell="A58" zoomScale="85" zoomScaleNormal="85" workbookViewId="0">
      <selection activeCell="J74" sqref="J74"/>
    </sheetView>
  </sheetViews>
  <sheetFormatPr defaultRowHeight="18.75"/>
  <cols>
    <col min="1" max="1" width="5" style="378" customWidth="1"/>
    <col min="2" max="2" width="46.85546875" style="378" customWidth="1"/>
    <col min="3" max="4" width="13.42578125" style="303" customWidth="1"/>
    <col min="5" max="5" width="21.28515625" style="304" hidden="1" customWidth="1"/>
    <col min="6" max="6" width="13.85546875" style="303" customWidth="1"/>
    <col min="7" max="7" width="14.42578125" style="303" customWidth="1"/>
    <col min="8" max="9" width="16.42578125" style="377" customWidth="1"/>
    <col min="10" max="10" width="11.140625" style="377" customWidth="1"/>
    <col min="11" max="11" width="19.140625" style="377" customWidth="1"/>
    <col min="12" max="12" width="17.85546875" style="371" customWidth="1"/>
    <col min="13" max="13" width="14.5703125" style="372" customWidth="1"/>
    <col min="14" max="14" width="15.7109375" style="372" customWidth="1"/>
    <col min="15" max="15" width="16.85546875" style="372" customWidth="1"/>
    <col min="16" max="16" width="17.85546875" style="372" customWidth="1"/>
    <col min="17" max="17" width="16.5703125" style="372" customWidth="1"/>
    <col min="18" max="18" width="17" style="372" customWidth="1"/>
    <col min="19" max="19" width="11.140625" style="372" customWidth="1"/>
    <col min="20" max="20" width="11" style="376" customWidth="1"/>
    <col min="21" max="21" width="10" style="283" hidden="1" customWidth="1"/>
    <col min="22" max="22" width="9" style="282" hidden="1" customWidth="1"/>
    <col min="23" max="23" width="11.5703125" style="284" hidden="1" customWidth="1"/>
    <col min="24" max="24" width="8" style="284" hidden="1" customWidth="1"/>
    <col min="25" max="25" width="11" style="284" hidden="1" customWidth="1"/>
    <col min="26" max="26" width="9" style="284" hidden="1" customWidth="1"/>
    <col min="27" max="27" width="7.42578125" style="284" hidden="1" customWidth="1"/>
    <col min="28" max="28" width="8.5703125" style="284" hidden="1" customWidth="1"/>
    <col min="29" max="256" width="9.140625" style="284"/>
    <col min="257" max="257" width="5" style="284" customWidth="1"/>
    <col min="258" max="258" width="46.85546875" style="284" customWidth="1"/>
    <col min="259" max="259" width="10.7109375" style="284" customWidth="1"/>
    <col min="260" max="260" width="11.5703125" style="284" customWidth="1"/>
    <col min="261" max="261" width="10.7109375" style="284" customWidth="1"/>
    <col min="262" max="262" width="11.7109375" style="284" customWidth="1"/>
    <col min="263" max="263" width="13.5703125" style="284" customWidth="1"/>
    <col min="264" max="265" width="16.42578125" style="284" customWidth="1"/>
    <col min="266" max="266" width="11.140625" style="284" customWidth="1"/>
    <col min="267" max="267" width="19.140625" style="284" customWidth="1"/>
    <col min="268" max="268" width="17.85546875" style="284" customWidth="1"/>
    <col min="269" max="269" width="14.5703125" style="284" customWidth="1"/>
    <col min="270" max="270" width="15.7109375" style="284" customWidth="1"/>
    <col min="271" max="271" width="16.85546875" style="284" customWidth="1"/>
    <col min="272" max="272" width="17.85546875" style="284" customWidth="1"/>
    <col min="273" max="273" width="16.5703125" style="284" customWidth="1"/>
    <col min="274" max="274" width="17" style="284" customWidth="1"/>
    <col min="275" max="275" width="11.140625" style="284" customWidth="1"/>
    <col min="276" max="276" width="11" style="284" customWidth="1"/>
    <col min="277" max="284" width="0" style="284" hidden="1" customWidth="1"/>
    <col min="285" max="512" width="9.140625" style="284"/>
    <col min="513" max="513" width="5" style="284" customWidth="1"/>
    <col min="514" max="514" width="46.85546875" style="284" customWidth="1"/>
    <col min="515" max="515" width="10.7109375" style="284" customWidth="1"/>
    <col min="516" max="516" width="11.5703125" style="284" customWidth="1"/>
    <col min="517" max="517" width="10.7109375" style="284" customWidth="1"/>
    <col min="518" max="518" width="11.7109375" style="284" customWidth="1"/>
    <col min="519" max="519" width="13.5703125" style="284" customWidth="1"/>
    <col min="520" max="521" width="16.42578125" style="284" customWidth="1"/>
    <col min="522" max="522" width="11.140625" style="284" customWidth="1"/>
    <col min="523" max="523" width="19.140625" style="284" customWidth="1"/>
    <col min="524" max="524" width="17.85546875" style="284" customWidth="1"/>
    <col min="525" max="525" width="14.5703125" style="284" customWidth="1"/>
    <col min="526" max="526" width="15.7109375" style="284" customWidth="1"/>
    <col min="527" max="527" width="16.85546875" style="284" customWidth="1"/>
    <col min="528" max="528" width="17.85546875" style="284" customWidth="1"/>
    <col min="529" max="529" width="16.5703125" style="284" customWidth="1"/>
    <col min="530" max="530" width="17" style="284" customWidth="1"/>
    <col min="531" max="531" width="11.140625" style="284" customWidth="1"/>
    <col min="532" max="532" width="11" style="284" customWidth="1"/>
    <col min="533" max="540" width="0" style="284" hidden="1" customWidth="1"/>
    <col min="541" max="768" width="9.140625" style="284"/>
    <col min="769" max="769" width="5" style="284" customWidth="1"/>
    <col min="770" max="770" width="46.85546875" style="284" customWidth="1"/>
    <col min="771" max="771" width="10.7109375" style="284" customWidth="1"/>
    <col min="772" max="772" width="11.5703125" style="284" customWidth="1"/>
    <col min="773" max="773" width="10.7109375" style="284" customWidth="1"/>
    <col min="774" max="774" width="11.7109375" style="284" customWidth="1"/>
    <col min="775" max="775" width="13.5703125" style="284" customWidth="1"/>
    <col min="776" max="777" width="16.42578125" style="284" customWidth="1"/>
    <col min="778" max="778" width="11.140625" style="284" customWidth="1"/>
    <col min="779" max="779" width="19.140625" style="284" customWidth="1"/>
    <col min="780" max="780" width="17.85546875" style="284" customWidth="1"/>
    <col min="781" max="781" width="14.5703125" style="284" customWidth="1"/>
    <col min="782" max="782" width="15.7109375" style="284" customWidth="1"/>
    <col min="783" max="783" width="16.85546875" style="284" customWidth="1"/>
    <col min="784" max="784" width="17.85546875" style="284" customWidth="1"/>
    <col min="785" max="785" width="16.5703125" style="284" customWidth="1"/>
    <col min="786" max="786" width="17" style="284" customWidth="1"/>
    <col min="787" max="787" width="11.140625" style="284" customWidth="1"/>
    <col min="788" max="788" width="11" style="284" customWidth="1"/>
    <col min="789" max="796" width="0" style="284" hidden="1" customWidth="1"/>
    <col min="797" max="1024" width="9.140625" style="284"/>
    <col min="1025" max="1025" width="5" style="284" customWidth="1"/>
    <col min="1026" max="1026" width="46.85546875" style="284" customWidth="1"/>
    <col min="1027" max="1027" width="10.7109375" style="284" customWidth="1"/>
    <col min="1028" max="1028" width="11.5703125" style="284" customWidth="1"/>
    <col min="1029" max="1029" width="10.7109375" style="284" customWidth="1"/>
    <col min="1030" max="1030" width="11.7109375" style="284" customWidth="1"/>
    <col min="1031" max="1031" width="13.5703125" style="284" customWidth="1"/>
    <col min="1032" max="1033" width="16.42578125" style="284" customWidth="1"/>
    <col min="1034" max="1034" width="11.140625" style="284" customWidth="1"/>
    <col min="1035" max="1035" width="19.140625" style="284" customWidth="1"/>
    <col min="1036" max="1036" width="17.85546875" style="284" customWidth="1"/>
    <col min="1037" max="1037" width="14.5703125" style="284" customWidth="1"/>
    <col min="1038" max="1038" width="15.7109375" style="284" customWidth="1"/>
    <col min="1039" max="1039" width="16.85546875" style="284" customWidth="1"/>
    <col min="1040" max="1040" width="17.85546875" style="284" customWidth="1"/>
    <col min="1041" max="1041" width="16.5703125" style="284" customWidth="1"/>
    <col min="1042" max="1042" width="17" style="284" customWidth="1"/>
    <col min="1043" max="1043" width="11.140625" style="284" customWidth="1"/>
    <col min="1044" max="1044" width="11" style="284" customWidth="1"/>
    <col min="1045" max="1052" width="0" style="284" hidden="1" customWidth="1"/>
    <col min="1053" max="1280" width="9.140625" style="284"/>
    <col min="1281" max="1281" width="5" style="284" customWidth="1"/>
    <col min="1282" max="1282" width="46.85546875" style="284" customWidth="1"/>
    <col min="1283" max="1283" width="10.7109375" style="284" customWidth="1"/>
    <col min="1284" max="1284" width="11.5703125" style="284" customWidth="1"/>
    <col min="1285" max="1285" width="10.7109375" style="284" customWidth="1"/>
    <col min="1286" max="1286" width="11.7109375" style="284" customWidth="1"/>
    <col min="1287" max="1287" width="13.5703125" style="284" customWidth="1"/>
    <col min="1288" max="1289" width="16.42578125" style="284" customWidth="1"/>
    <col min="1290" max="1290" width="11.140625" style="284" customWidth="1"/>
    <col min="1291" max="1291" width="19.140625" style="284" customWidth="1"/>
    <col min="1292" max="1292" width="17.85546875" style="284" customWidth="1"/>
    <col min="1293" max="1293" width="14.5703125" style="284" customWidth="1"/>
    <col min="1294" max="1294" width="15.7109375" style="284" customWidth="1"/>
    <col min="1295" max="1295" width="16.85546875" style="284" customWidth="1"/>
    <col min="1296" max="1296" width="17.85546875" style="284" customWidth="1"/>
    <col min="1297" max="1297" width="16.5703125" style="284" customWidth="1"/>
    <col min="1298" max="1298" width="17" style="284" customWidth="1"/>
    <col min="1299" max="1299" width="11.140625" style="284" customWidth="1"/>
    <col min="1300" max="1300" width="11" style="284" customWidth="1"/>
    <col min="1301" max="1308" width="0" style="284" hidden="1" customWidth="1"/>
    <col min="1309" max="1536" width="9.140625" style="284"/>
    <col min="1537" max="1537" width="5" style="284" customWidth="1"/>
    <col min="1538" max="1538" width="46.85546875" style="284" customWidth="1"/>
    <col min="1539" max="1539" width="10.7109375" style="284" customWidth="1"/>
    <col min="1540" max="1540" width="11.5703125" style="284" customWidth="1"/>
    <col min="1541" max="1541" width="10.7109375" style="284" customWidth="1"/>
    <col min="1542" max="1542" width="11.7109375" style="284" customWidth="1"/>
    <col min="1543" max="1543" width="13.5703125" style="284" customWidth="1"/>
    <col min="1544" max="1545" width="16.42578125" style="284" customWidth="1"/>
    <col min="1546" max="1546" width="11.140625" style="284" customWidth="1"/>
    <col min="1547" max="1547" width="19.140625" style="284" customWidth="1"/>
    <col min="1548" max="1548" width="17.85546875" style="284" customWidth="1"/>
    <col min="1549" max="1549" width="14.5703125" style="284" customWidth="1"/>
    <col min="1550" max="1550" width="15.7109375" style="284" customWidth="1"/>
    <col min="1551" max="1551" width="16.85546875" style="284" customWidth="1"/>
    <col min="1552" max="1552" width="17.85546875" style="284" customWidth="1"/>
    <col min="1553" max="1553" width="16.5703125" style="284" customWidth="1"/>
    <col min="1554" max="1554" width="17" style="284" customWidth="1"/>
    <col min="1555" max="1555" width="11.140625" style="284" customWidth="1"/>
    <col min="1556" max="1556" width="11" style="284" customWidth="1"/>
    <col min="1557" max="1564" width="0" style="284" hidden="1" customWidth="1"/>
    <col min="1565" max="1792" width="9.140625" style="284"/>
    <col min="1793" max="1793" width="5" style="284" customWidth="1"/>
    <col min="1794" max="1794" width="46.85546875" style="284" customWidth="1"/>
    <col min="1795" max="1795" width="10.7109375" style="284" customWidth="1"/>
    <col min="1796" max="1796" width="11.5703125" style="284" customWidth="1"/>
    <col min="1797" max="1797" width="10.7109375" style="284" customWidth="1"/>
    <col min="1798" max="1798" width="11.7109375" style="284" customWidth="1"/>
    <col min="1799" max="1799" width="13.5703125" style="284" customWidth="1"/>
    <col min="1800" max="1801" width="16.42578125" style="284" customWidth="1"/>
    <col min="1802" max="1802" width="11.140625" style="284" customWidth="1"/>
    <col min="1803" max="1803" width="19.140625" style="284" customWidth="1"/>
    <col min="1804" max="1804" width="17.85546875" style="284" customWidth="1"/>
    <col min="1805" max="1805" width="14.5703125" style="284" customWidth="1"/>
    <col min="1806" max="1806" width="15.7109375" style="284" customWidth="1"/>
    <col min="1807" max="1807" width="16.85546875" style="284" customWidth="1"/>
    <col min="1808" max="1808" width="17.85546875" style="284" customWidth="1"/>
    <col min="1809" max="1809" width="16.5703125" style="284" customWidth="1"/>
    <col min="1810" max="1810" width="17" style="284" customWidth="1"/>
    <col min="1811" max="1811" width="11.140625" style="284" customWidth="1"/>
    <col min="1812" max="1812" width="11" style="284" customWidth="1"/>
    <col min="1813" max="1820" width="0" style="284" hidden="1" customWidth="1"/>
    <col min="1821" max="2048" width="9.140625" style="284"/>
    <col min="2049" max="2049" width="5" style="284" customWidth="1"/>
    <col min="2050" max="2050" width="46.85546875" style="284" customWidth="1"/>
    <col min="2051" max="2051" width="10.7109375" style="284" customWidth="1"/>
    <col min="2052" max="2052" width="11.5703125" style="284" customWidth="1"/>
    <col min="2053" max="2053" width="10.7109375" style="284" customWidth="1"/>
    <col min="2054" max="2054" width="11.7109375" style="284" customWidth="1"/>
    <col min="2055" max="2055" width="13.5703125" style="284" customWidth="1"/>
    <col min="2056" max="2057" width="16.42578125" style="284" customWidth="1"/>
    <col min="2058" max="2058" width="11.140625" style="284" customWidth="1"/>
    <col min="2059" max="2059" width="19.140625" style="284" customWidth="1"/>
    <col min="2060" max="2060" width="17.85546875" style="284" customWidth="1"/>
    <col min="2061" max="2061" width="14.5703125" style="284" customWidth="1"/>
    <col min="2062" max="2062" width="15.7109375" style="284" customWidth="1"/>
    <col min="2063" max="2063" width="16.85546875" style="284" customWidth="1"/>
    <col min="2064" max="2064" width="17.85546875" style="284" customWidth="1"/>
    <col min="2065" max="2065" width="16.5703125" style="284" customWidth="1"/>
    <col min="2066" max="2066" width="17" style="284" customWidth="1"/>
    <col min="2067" max="2067" width="11.140625" style="284" customWidth="1"/>
    <col min="2068" max="2068" width="11" style="284" customWidth="1"/>
    <col min="2069" max="2076" width="0" style="284" hidden="1" customWidth="1"/>
    <col min="2077" max="2304" width="9.140625" style="284"/>
    <col min="2305" max="2305" width="5" style="284" customWidth="1"/>
    <col min="2306" max="2306" width="46.85546875" style="284" customWidth="1"/>
    <col min="2307" max="2307" width="10.7109375" style="284" customWidth="1"/>
    <col min="2308" max="2308" width="11.5703125" style="284" customWidth="1"/>
    <col min="2309" max="2309" width="10.7109375" style="284" customWidth="1"/>
    <col min="2310" max="2310" width="11.7109375" style="284" customWidth="1"/>
    <col min="2311" max="2311" width="13.5703125" style="284" customWidth="1"/>
    <col min="2312" max="2313" width="16.42578125" style="284" customWidth="1"/>
    <col min="2314" max="2314" width="11.140625" style="284" customWidth="1"/>
    <col min="2315" max="2315" width="19.140625" style="284" customWidth="1"/>
    <col min="2316" max="2316" width="17.85546875" style="284" customWidth="1"/>
    <col min="2317" max="2317" width="14.5703125" style="284" customWidth="1"/>
    <col min="2318" max="2318" width="15.7109375" style="284" customWidth="1"/>
    <col min="2319" max="2319" width="16.85546875" style="284" customWidth="1"/>
    <col min="2320" max="2320" width="17.85546875" style="284" customWidth="1"/>
    <col min="2321" max="2321" width="16.5703125" style="284" customWidth="1"/>
    <col min="2322" max="2322" width="17" style="284" customWidth="1"/>
    <col min="2323" max="2323" width="11.140625" style="284" customWidth="1"/>
    <col min="2324" max="2324" width="11" style="284" customWidth="1"/>
    <col min="2325" max="2332" width="0" style="284" hidden="1" customWidth="1"/>
    <col min="2333" max="2560" width="9.140625" style="284"/>
    <col min="2561" max="2561" width="5" style="284" customWidth="1"/>
    <col min="2562" max="2562" width="46.85546875" style="284" customWidth="1"/>
    <col min="2563" max="2563" width="10.7109375" style="284" customWidth="1"/>
    <col min="2564" max="2564" width="11.5703125" style="284" customWidth="1"/>
    <col min="2565" max="2565" width="10.7109375" style="284" customWidth="1"/>
    <col min="2566" max="2566" width="11.7109375" style="284" customWidth="1"/>
    <col min="2567" max="2567" width="13.5703125" style="284" customWidth="1"/>
    <col min="2568" max="2569" width="16.42578125" style="284" customWidth="1"/>
    <col min="2570" max="2570" width="11.140625" style="284" customWidth="1"/>
    <col min="2571" max="2571" width="19.140625" style="284" customWidth="1"/>
    <col min="2572" max="2572" width="17.85546875" style="284" customWidth="1"/>
    <col min="2573" max="2573" width="14.5703125" style="284" customWidth="1"/>
    <col min="2574" max="2574" width="15.7109375" style="284" customWidth="1"/>
    <col min="2575" max="2575" width="16.85546875" style="284" customWidth="1"/>
    <col min="2576" max="2576" width="17.85546875" style="284" customWidth="1"/>
    <col min="2577" max="2577" width="16.5703125" style="284" customWidth="1"/>
    <col min="2578" max="2578" width="17" style="284" customWidth="1"/>
    <col min="2579" max="2579" width="11.140625" style="284" customWidth="1"/>
    <col min="2580" max="2580" width="11" style="284" customWidth="1"/>
    <col min="2581" max="2588" width="0" style="284" hidden="1" customWidth="1"/>
    <col min="2589" max="2816" width="9.140625" style="284"/>
    <col min="2817" max="2817" width="5" style="284" customWidth="1"/>
    <col min="2818" max="2818" width="46.85546875" style="284" customWidth="1"/>
    <col min="2819" max="2819" width="10.7109375" style="284" customWidth="1"/>
    <col min="2820" max="2820" width="11.5703125" style="284" customWidth="1"/>
    <col min="2821" max="2821" width="10.7109375" style="284" customWidth="1"/>
    <col min="2822" max="2822" width="11.7109375" style="284" customWidth="1"/>
    <col min="2823" max="2823" width="13.5703125" style="284" customWidth="1"/>
    <col min="2824" max="2825" width="16.42578125" style="284" customWidth="1"/>
    <col min="2826" max="2826" width="11.140625" style="284" customWidth="1"/>
    <col min="2827" max="2827" width="19.140625" style="284" customWidth="1"/>
    <col min="2828" max="2828" width="17.85546875" style="284" customWidth="1"/>
    <col min="2829" max="2829" width="14.5703125" style="284" customWidth="1"/>
    <col min="2830" max="2830" width="15.7109375" style="284" customWidth="1"/>
    <col min="2831" max="2831" width="16.85546875" style="284" customWidth="1"/>
    <col min="2832" max="2832" width="17.85546875" style="284" customWidth="1"/>
    <col min="2833" max="2833" width="16.5703125" style="284" customWidth="1"/>
    <col min="2834" max="2834" width="17" style="284" customWidth="1"/>
    <col min="2835" max="2835" width="11.140625" style="284" customWidth="1"/>
    <col min="2836" max="2836" width="11" style="284" customWidth="1"/>
    <col min="2837" max="2844" width="0" style="284" hidden="1" customWidth="1"/>
    <col min="2845" max="3072" width="9.140625" style="284"/>
    <col min="3073" max="3073" width="5" style="284" customWidth="1"/>
    <col min="3074" max="3074" width="46.85546875" style="284" customWidth="1"/>
    <col min="3075" max="3075" width="10.7109375" style="284" customWidth="1"/>
    <col min="3076" max="3076" width="11.5703125" style="284" customWidth="1"/>
    <col min="3077" max="3077" width="10.7109375" style="284" customWidth="1"/>
    <col min="3078" max="3078" width="11.7109375" style="284" customWidth="1"/>
    <col min="3079" max="3079" width="13.5703125" style="284" customWidth="1"/>
    <col min="3080" max="3081" width="16.42578125" style="284" customWidth="1"/>
    <col min="3082" max="3082" width="11.140625" style="284" customWidth="1"/>
    <col min="3083" max="3083" width="19.140625" style="284" customWidth="1"/>
    <col min="3084" max="3084" width="17.85546875" style="284" customWidth="1"/>
    <col min="3085" max="3085" width="14.5703125" style="284" customWidth="1"/>
    <col min="3086" max="3086" width="15.7109375" style="284" customWidth="1"/>
    <col min="3087" max="3087" width="16.85546875" style="284" customWidth="1"/>
    <col min="3088" max="3088" width="17.85546875" style="284" customWidth="1"/>
    <col min="3089" max="3089" width="16.5703125" style="284" customWidth="1"/>
    <col min="3090" max="3090" width="17" style="284" customWidth="1"/>
    <col min="3091" max="3091" width="11.140625" style="284" customWidth="1"/>
    <col min="3092" max="3092" width="11" style="284" customWidth="1"/>
    <col min="3093" max="3100" width="0" style="284" hidden="1" customWidth="1"/>
    <col min="3101" max="3328" width="9.140625" style="284"/>
    <col min="3329" max="3329" width="5" style="284" customWidth="1"/>
    <col min="3330" max="3330" width="46.85546875" style="284" customWidth="1"/>
    <col min="3331" max="3331" width="10.7109375" style="284" customWidth="1"/>
    <col min="3332" max="3332" width="11.5703125" style="284" customWidth="1"/>
    <col min="3333" max="3333" width="10.7109375" style="284" customWidth="1"/>
    <col min="3334" max="3334" width="11.7109375" style="284" customWidth="1"/>
    <col min="3335" max="3335" width="13.5703125" style="284" customWidth="1"/>
    <col min="3336" max="3337" width="16.42578125" style="284" customWidth="1"/>
    <col min="3338" max="3338" width="11.140625" style="284" customWidth="1"/>
    <col min="3339" max="3339" width="19.140625" style="284" customWidth="1"/>
    <col min="3340" max="3340" width="17.85546875" style="284" customWidth="1"/>
    <col min="3341" max="3341" width="14.5703125" style="284" customWidth="1"/>
    <col min="3342" max="3342" width="15.7109375" style="284" customWidth="1"/>
    <col min="3343" max="3343" width="16.85546875" style="284" customWidth="1"/>
    <col min="3344" max="3344" width="17.85546875" style="284" customWidth="1"/>
    <col min="3345" max="3345" width="16.5703125" style="284" customWidth="1"/>
    <col min="3346" max="3346" width="17" style="284" customWidth="1"/>
    <col min="3347" max="3347" width="11.140625" style="284" customWidth="1"/>
    <col min="3348" max="3348" width="11" style="284" customWidth="1"/>
    <col min="3349" max="3356" width="0" style="284" hidden="1" customWidth="1"/>
    <col min="3357" max="3584" width="9.140625" style="284"/>
    <col min="3585" max="3585" width="5" style="284" customWidth="1"/>
    <col min="3586" max="3586" width="46.85546875" style="284" customWidth="1"/>
    <col min="3587" max="3587" width="10.7109375" style="284" customWidth="1"/>
    <col min="3588" max="3588" width="11.5703125" style="284" customWidth="1"/>
    <col min="3589" max="3589" width="10.7109375" style="284" customWidth="1"/>
    <col min="3590" max="3590" width="11.7109375" style="284" customWidth="1"/>
    <col min="3591" max="3591" width="13.5703125" style="284" customWidth="1"/>
    <col min="3592" max="3593" width="16.42578125" style="284" customWidth="1"/>
    <col min="3594" max="3594" width="11.140625" style="284" customWidth="1"/>
    <col min="3595" max="3595" width="19.140625" style="284" customWidth="1"/>
    <col min="3596" max="3596" width="17.85546875" style="284" customWidth="1"/>
    <col min="3597" max="3597" width="14.5703125" style="284" customWidth="1"/>
    <col min="3598" max="3598" width="15.7109375" style="284" customWidth="1"/>
    <col min="3599" max="3599" width="16.85546875" style="284" customWidth="1"/>
    <col min="3600" max="3600" width="17.85546875" style="284" customWidth="1"/>
    <col min="3601" max="3601" width="16.5703125" style="284" customWidth="1"/>
    <col min="3602" max="3602" width="17" style="284" customWidth="1"/>
    <col min="3603" max="3603" width="11.140625" style="284" customWidth="1"/>
    <col min="3604" max="3604" width="11" style="284" customWidth="1"/>
    <col min="3605" max="3612" width="0" style="284" hidden="1" customWidth="1"/>
    <col min="3613" max="3840" width="9.140625" style="284"/>
    <col min="3841" max="3841" width="5" style="284" customWidth="1"/>
    <col min="3842" max="3842" width="46.85546875" style="284" customWidth="1"/>
    <col min="3843" max="3843" width="10.7109375" style="284" customWidth="1"/>
    <col min="3844" max="3844" width="11.5703125" style="284" customWidth="1"/>
    <col min="3845" max="3845" width="10.7109375" style="284" customWidth="1"/>
    <col min="3846" max="3846" width="11.7109375" style="284" customWidth="1"/>
    <col min="3847" max="3847" width="13.5703125" style="284" customWidth="1"/>
    <col min="3848" max="3849" width="16.42578125" style="284" customWidth="1"/>
    <col min="3850" max="3850" width="11.140625" style="284" customWidth="1"/>
    <col min="3851" max="3851" width="19.140625" style="284" customWidth="1"/>
    <col min="3852" max="3852" width="17.85546875" style="284" customWidth="1"/>
    <col min="3853" max="3853" width="14.5703125" style="284" customWidth="1"/>
    <col min="3854" max="3854" width="15.7109375" style="284" customWidth="1"/>
    <col min="3855" max="3855" width="16.85546875" style="284" customWidth="1"/>
    <col min="3856" max="3856" width="17.85546875" style="284" customWidth="1"/>
    <col min="3857" max="3857" width="16.5703125" style="284" customWidth="1"/>
    <col min="3858" max="3858" width="17" style="284" customWidth="1"/>
    <col min="3859" max="3859" width="11.140625" style="284" customWidth="1"/>
    <col min="3860" max="3860" width="11" style="284" customWidth="1"/>
    <col min="3861" max="3868" width="0" style="284" hidden="1" customWidth="1"/>
    <col min="3869" max="4096" width="9.140625" style="284"/>
    <col min="4097" max="4097" width="5" style="284" customWidth="1"/>
    <col min="4098" max="4098" width="46.85546875" style="284" customWidth="1"/>
    <col min="4099" max="4099" width="10.7109375" style="284" customWidth="1"/>
    <col min="4100" max="4100" width="11.5703125" style="284" customWidth="1"/>
    <col min="4101" max="4101" width="10.7109375" style="284" customWidth="1"/>
    <col min="4102" max="4102" width="11.7109375" style="284" customWidth="1"/>
    <col min="4103" max="4103" width="13.5703125" style="284" customWidth="1"/>
    <col min="4104" max="4105" width="16.42578125" style="284" customWidth="1"/>
    <col min="4106" max="4106" width="11.140625" style="284" customWidth="1"/>
    <col min="4107" max="4107" width="19.140625" style="284" customWidth="1"/>
    <col min="4108" max="4108" width="17.85546875" style="284" customWidth="1"/>
    <col min="4109" max="4109" width="14.5703125" style="284" customWidth="1"/>
    <col min="4110" max="4110" width="15.7109375" style="284" customWidth="1"/>
    <col min="4111" max="4111" width="16.85546875" style="284" customWidth="1"/>
    <col min="4112" max="4112" width="17.85546875" style="284" customWidth="1"/>
    <col min="4113" max="4113" width="16.5703125" style="284" customWidth="1"/>
    <col min="4114" max="4114" width="17" style="284" customWidth="1"/>
    <col min="4115" max="4115" width="11.140625" style="284" customWidth="1"/>
    <col min="4116" max="4116" width="11" style="284" customWidth="1"/>
    <col min="4117" max="4124" width="0" style="284" hidden="1" customWidth="1"/>
    <col min="4125" max="4352" width="9.140625" style="284"/>
    <col min="4353" max="4353" width="5" style="284" customWidth="1"/>
    <col min="4354" max="4354" width="46.85546875" style="284" customWidth="1"/>
    <col min="4355" max="4355" width="10.7109375" style="284" customWidth="1"/>
    <col min="4356" max="4356" width="11.5703125" style="284" customWidth="1"/>
    <col min="4357" max="4357" width="10.7109375" style="284" customWidth="1"/>
    <col min="4358" max="4358" width="11.7109375" style="284" customWidth="1"/>
    <col min="4359" max="4359" width="13.5703125" style="284" customWidth="1"/>
    <col min="4360" max="4361" width="16.42578125" style="284" customWidth="1"/>
    <col min="4362" max="4362" width="11.140625" style="284" customWidth="1"/>
    <col min="4363" max="4363" width="19.140625" style="284" customWidth="1"/>
    <col min="4364" max="4364" width="17.85546875" style="284" customWidth="1"/>
    <col min="4365" max="4365" width="14.5703125" style="284" customWidth="1"/>
    <col min="4366" max="4366" width="15.7109375" style="284" customWidth="1"/>
    <col min="4367" max="4367" width="16.85546875" style="284" customWidth="1"/>
    <col min="4368" max="4368" width="17.85546875" style="284" customWidth="1"/>
    <col min="4369" max="4369" width="16.5703125" style="284" customWidth="1"/>
    <col min="4370" max="4370" width="17" style="284" customWidth="1"/>
    <col min="4371" max="4371" width="11.140625" style="284" customWidth="1"/>
    <col min="4372" max="4372" width="11" style="284" customWidth="1"/>
    <col min="4373" max="4380" width="0" style="284" hidden="1" customWidth="1"/>
    <col min="4381" max="4608" width="9.140625" style="284"/>
    <col min="4609" max="4609" width="5" style="284" customWidth="1"/>
    <col min="4610" max="4610" width="46.85546875" style="284" customWidth="1"/>
    <col min="4611" max="4611" width="10.7109375" style="284" customWidth="1"/>
    <col min="4612" max="4612" width="11.5703125" style="284" customWidth="1"/>
    <col min="4613" max="4613" width="10.7109375" style="284" customWidth="1"/>
    <col min="4614" max="4614" width="11.7109375" style="284" customWidth="1"/>
    <col min="4615" max="4615" width="13.5703125" style="284" customWidth="1"/>
    <col min="4616" max="4617" width="16.42578125" style="284" customWidth="1"/>
    <col min="4618" max="4618" width="11.140625" style="284" customWidth="1"/>
    <col min="4619" max="4619" width="19.140625" style="284" customWidth="1"/>
    <col min="4620" max="4620" width="17.85546875" style="284" customWidth="1"/>
    <col min="4621" max="4621" width="14.5703125" style="284" customWidth="1"/>
    <col min="4622" max="4622" width="15.7109375" style="284" customWidth="1"/>
    <col min="4623" max="4623" width="16.85546875" style="284" customWidth="1"/>
    <col min="4624" max="4624" width="17.85546875" style="284" customWidth="1"/>
    <col min="4625" max="4625" width="16.5703125" style="284" customWidth="1"/>
    <col min="4626" max="4626" width="17" style="284" customWidth="1"/>
    <col min="4627" max="4627" width="11.140625" style="284" customWidth="1"/>
    <col min="4628" max="4628" width="11" style="284" customWidth="1"/>
    <col min="4629" max="4636" width="0" style="284" hidden="1" customWidth="1"/>
    <col min="4637" max="4864" width="9.140625" style="284"/>
    <col min="4865" max="4865" width="5" style="284" customWidth="1"/>
    <col min="4866" max="4866" width="46.85546875" style="284" customWidth="1"/>
    <col min="4867" max="4867" width="10.7109375" style="284" customWidth="1"/>
    <col min="4868" max="4868" width="11.5703125" style="284" customWidth="1"/>
    <col min="4869" max="4869" width="10.7109375" style="284" customWidth="1"/>
    <col min="4870" max="4870" width="11.7109375" style="284" customWidth="1"/>
    <col min="4871" max="4871" width="13.5703125" style="284" customWidth="1"/>
    <col min="4872" max="4873" width="16.42578125" style="284" customWidth="1"/>
    <col min="4874" max="4874" width="11.140625" style="284" customWidth="1"/>
    <col min="4875" max="4875" width="19.140625" style="284" customWidth="1"/>
    <col min="4876" max="4876" width="17.85546875" style="284" customWidth="1"/>
    <col min="4877" max="4877" width="14.5703125" style="284" customWidth="1"/>
    <col min="4878" max="4878" width="15.7109375" style="284" customWidth="1"/>
    <col min="4879" max="4879" width="16.85546875" style="284" customWidth="1"/>
    <col min="4880" max="4880" width="17.85546875" style="284" customWidth="1"/>
    <col min="4881" max="4881" width="16.5703125" style="284" customWidth="1"/>
    <col min="4882" max="4882" width="17" style="284" customWidth="1"/>
    <col min="4883" max="4883" width="11.140625" style="284" customWidth="1"/>
    <col min="4884" max="4884" width="11" style="284" customWidth="1"/>
    <col min="4885" max="4892" width="0" style="284" hidden="1" customWidth="1"/>
    <col min="4893" max="5120" width="9.140625" style="284"/>
    <col min="5121" max="5121" width="5" style="284" customWidth="1"/>
    <col min="5122" max="5122" width="46.85546875" style="284" customWidth="1"/>
    <col min="5123" max="5123" width="10.7109375" style="284" customWidth="1"/>
    <col min="5124" max="5124" width="11.5703125" style="284" customWidth="1"/>
    <col min="5125" max="5125" width="10.7109375" style="284" customWidth="1"/>
    <col min="5126" max="5126" width="11.7109375" style="284" customWidth="1"/>
    <col min="5127" max="5127" width="13.5703125" style="284" customWidth="1"/>
    <col min="5128" max="5129" width="16.42578125" style="284" customWidth="1"/>
    <col min="5130" max="5130" width="11.140625" style="284" customWidth="1"/>
    <col min="5131" max="5131" width="19.140625" style="284" customWidth="1"/>
    <col min="5132" max="5132" width="17.85546875" style="284" customWidth="1"/>
    <col min="5133" max="5133" width="14.5703125" style="284" customWidth="1"/>
    <col min="5134" max="5134" width="15.7109375" style="284" customWidth="1"/>
    <col min="5135" max="5135" width="16.85546875" style="284" customWidth="1"/>
    <col min="5136" max="5136" width="17.85546875" style="284" customWidth="1"/>
    <col min="5137" max="5137" width="16.5703125" style="284" customWidth="1"/>
    <col min="5138" max="5138" width="17" style="284" customWidth="1"/>
    <col min="5139" max="5139" width="11.140625" style="284" customWidth="1"/>
    <col min="5140" max="5140" width="11" style="284" customWidth="1"/>
    <col min="5141" max="5148" width="0" style="284" hidden="1" customWidth="1"/>
    <col min="5149" max="5376" width="9.140625" style="284"/>
    <col min="5377" max="5377" width="5" style="284" customWidth="1"/>
    <col min="5378" max="5378" width="46.85546875" style="284" customWidth="1"/>
    <col min="5379" max="5379" width="10.7109375" style="284" customWidth="1"/>
    <col min="5380" max="5380" width="11.5703125" style="284" customWidth="1"/>
    <col min="5381" max="5381" width="10.7109375" style="284" customWidth="1"/>
    <col min="5382" max="5382" width="11.7109375" style="284" customWidth="1"/>
    <col min="5383" max="5383" width="13.5703125" style="284" customWidth="1"/>
    <col min="5384" max="5385" width="16.42578125" style="284" customWidth="1"/>
    <col min="5386" max="5386" width="11.140625" style="284" customWidth="1"/>
    <col min="5387" max="5387" width="19.140625" style="284" customWidth="1"/>
    <col min="5388" max="5388" width="17.85546875" style="284" customWidth="1"/>
    <col min="5389" max="5389" width="14.5703125" style="284" customWidth="1"/>
    <col min="5390" max="5390" width="15.7109375" style="284" customWidth="1"/>
    <col min="5391" max="5391" width="16.85546875" style="284" customWidth="1"/>
    <col min="5392" max="5392" width="17.85546875" style="284" customWidth="1"/>
    <col min="5393" max="5393" width="16.5703125" style="284" customWidth="1"/>
    <col min="5394" max="5394" width="17" style="284" customWidth="1"/>
    <col min="5395" max="5395" width="11.140625" style="284" customWidth="1"/>
    <col min="5396" max="5396" width="11" style="284" customWidth="1"/>
    <col min="5397" max="5404" width="0" style="284" hidden="1" customWidth="1"/>
    <col min="5405" max="5632" width="9.140625" style="284"/>
    <col min="5633" max="5633" width="5" style="284" customWidth="1"/>
    <col min="5634" max="5634" width="46.85546875" style="284" customWidth="1"/>
    <col min="5635" max="5635" width="10.7109375" style="284" customWidth="1"/>
    <col min="5636" max="5636" width="11.5703125" style="284" customWidth="1"/>
    <col min="5637" max="5637" width="10.7109375" style="284" customWidth="1"/>
    <col min="5638" max="5638" width="11.7109375" style="284" customWidth="1"/>
    <col min="5639" max="5639" width="13.5703125" style="284" customWidth="1"/>
    <col min="5640" max="5641" width="16.42578125" style="284" customWidth="1"/>
    <col min="5642" max="5642" width="11.140625" style="284" customWidth="1"/>
    <col min="5643" max="5643" width="19.140625" style="284" customWidth="1"/>
    <col min="5644" max="5644" width="17.85546875" style="284" customWidth="1"/>
    <col min="5645" max="5645" width="14.5703125" style="284" customWidth="1"/>
    <col min="5646" max="5646" width="15.7109375" style="284" customWidth="1"/>
    <col min="5647" max="5647" width="16.85546875" style="284" customWidth="1"/>
    <col min="5648" max="5648" width="17.85546875" style="284" customWidth="1"/>
    <col min="5649" max="5649" width="16.5703125" style="284" customWidth="1"/>
    <col min="5650" max="5650" width="17" style="284" customWidth="1"/>
    <col min="5651" max="5651" width="11.140625" style="284" customWidth="1"/>
    <col min="5652" max="5652" width="11" style="284" customWidth="1"/>
    <col min="5653" max="5660" width="0" style="284" hidden="1" customWidth="1"/>
    <col min="5661" max="5888" width="9.140625" style="284"/>
    <col min="5889" max="5889" width="5" style="284" customWidth="1"/>
    <col min="5890" max="5890" width="46.85546875" style="284" customWidth="1"/>
    <col min="5891" max="5891" width="10.7109375" style="284" customWidth="1"/>
    <col min="5892" max="5892" width="11.5703125" style="284" customWidth="1"/>
    <col min="5893" max="5893" width="10.7109375" style="284" customWidth="1"/>
    <col min="5894" max="5894" width="11.7109375" style="284" customWidth="1"/>
    <col min="5895" max="5895" width="13.5703125" style="284" customWidth="1"/>
    <col min="5896" max="5897" width="16.42578125" style="284" customWidth="1"/>
    <col min="5898" max="5898" width="11.140625" style="284" customWidth="1"/>
    <col min="5899" max="5899" width="19.140625" style="284" customWidth="1"/>
    <col min="5900" max="5900" width="17.85546875" style="284" customWidth="1"/>
    <col min="5901" max="5901" width="14.5703125" style="284" customWidth="1"/>
    <col min="5902" max="5902" width="15.7109375" style="284" customWidth="1"/>
    <col min="5903" max="5903" width="16.85546875" style="284" customWidth="1"/>
    <col min="5904" max="5904" width="17.85546875" style="284" customWidth="1"/>
    <col min="5905" max="5905" width="16.5703125" style="284" customWidth="1"/>
    <col min="5906" max="5906" width="17" style="284" customWidth="1"/>
    <col min="5907" max="5907" width="11.140625" style="284" customWidth="1"/>
    <col min="5908" max="5908" width="11" style="284" customWidth="1"/>
    <col min="5909" max="5916" width="0" style="284" hidden="1" customWidth="1"/>
    <col min="5917" max="6144" width="9.140625" style="284"/>
    <col min="6145" max="6145" width="5" style="284" customWidth="1"/>
    <col min="6146" max="6146" width="46.85546875" style="284" customWidth="1"/>
    <col min="6147" max="6147" width="10.7109375" style="284" customWidth="1"/>
    <col min="6148" max="6148" width="11.5703125" style="284" customWidth="1"/>
    <col min="6149" max="6149" width="10.7109375" style="284" customWidth="1"/>
    <col min="6150" max="6150" width="11.7109375" style="284" customWidth="1"/>
    <col min="6151" max="6151" width="13.5703125" style="284" customWidth="1"/>
    <col min="6152" max="6153" width="16.42578125" style="284" customWidth="1"/>
    <col min="6154" max="6154" width="11.140625" style="284" customWidth="1"/>
    <col min="6155" max="6155" width="19.140625" style="284" customWidth="1"/>
    <col min="6156" max="6156" width="17.85546875" style="284" customWidth="1"/>
    <col min="6157" max="6157" width="14.5703125" style="284" customWidth="1"/>
    <col min="6158" max="6158" width="15.7109375" style="284" customWidth="1"/>
    <col min="6159" max="6159" width="16.85546875" style="284" customWidth="1"/>
    <col min="6160" max="6160" width="17.85546875" style="284" customWidth="1"/>
    <col min="6161" max="6161" width="16.5703125" style="284" customWidth="1"/>
    <col min="6162" max="6162" width="17" style="284" customWidth="1"/>
    <col min="6163" max="6163" width="11.140625" style="284" customWidth="1"/>
    <col min="6164" max="6164" width="11" style="284" customWidth="1"/>
    <col min="6165" max="6172" width="0" style="284" hidden="1" customWidth="1"/>
    <col min="6173" max="6400" width="9.140625" style="284"/>
    <col min="6401" max="6401" width="5" style="284" customWidth="1"/>
    <col min="6402" max="6402" width="46.85546875" style="284" customWidth="1"/>
    <col min="6403" max="6403" width="10.7109375" style="284" customWidth="1"/>
    <col min="6404" max="6404" width="11.5703125" style="284" customWidth="1"/>
    <col min="6405" max="6405" width="10.7109375" style="284" customWidth="1"/>
    <col min="6406" max="6406" width="11.7109375" style="284" customWidth="1"/>
    <col min="6407" max="6407" width="13.5703125" style="284" customWidth="1"/>
    <col min="6408" max="6409" width="16.42578125" style="284" customWidth="1"/>
    <col min="6410" max="6410" width="11.140625" style="284" customWidth="1"/>
    <col min="6411" max="6411" width="19.140625" style="284" customWidth="1"/>
    <col min="6412" max="6412" width="17.85546875" style="284" customWidth="1"/>
    <col min="6413" max="6413" width="14.5703125" style="284" customWidth="1"/>
    <col min="6414" max="6414" width="15.7109375" style="284" customWidth="1"/>
    <col min="6415" max="6415" width="16.85546875" style="284" customWidth="1"/>
    <col min="6416" max="6416" width="17.85546875" style="284" customWidth="1"/>
    <col min="6417" max="6417" width="16.5703125" style="284" customWidth="1"/>
    <col min="6418" max="6418" width="17" style="284" customWidth="1"/>
    <col min="6419" max="6419" width="11.140625" style="284" customWidth="1"/>
    <col min="6420" max="6420" width="11" style="284" customWidth="1"/>
    <col min="6421" max="6428" width="0" style="284" hidden="1" customWidth="1"/>
    <col min="6429" max="6656" width="9.140625" style="284"/>
    <col min="6657" max="6657" width="5" style="284" customWidth="1"/>
    <col min="6658" max="6658" width="46.85546875" style="284" customWidth="1"/>
    <col min="6659" max="6659" width="10.7109375" style="284" customWidth="1"/>
    <col min="6660" max="6660" width="11.5703125" style="284" customWidth="1"/>
    <col min="6661" max="6661" width="10.7109375" style="284" customWidth="1"/>
    <col min="6662" max="6662" width="11.7109375" style="284" customWidth="1"/>
    <col min="6663" max="6663" width="13.5703125" style="284" customWidth="1"/>
    <col min="6664" max="6665" width="16.42578125" style="284" customWidth="1"/>
    <col min="6666" max="6666" width="11.140625" style="284" customWidth="1"/>
    <col min="6667" max="6667" width="19.140625" style="284" customWidth="1"/>
    <col min="6668" max="6668" width="17.85546875" style="284" customWidth="1"/>
    <col min="6669" max="6669" width="14.5703125" style="284" customWidth="1"/>
    <col min="6670" max="6670" width="15.7109375" style="284" customWidth="1"/>
    <col min="6671" max="6671" width="16.85546875" style="284" customWidth="1"/>
    <col min="6672" max="6672" width="17.85546875" style="284" customWidth="1"/>
    <col min="6673" max="6673" width="16.5703125" style="284" customWidth="1"/>
    <col min="6674" max="6674" width="17" style="284" customWidth="1"/>
    <col min="6675" max="6675" width="11.140625" style="284" customWidth="1"/>
    <col min="6676" max="6676" width="11" style="284" customWidth="1"/>
    <col min="6677" max="6684" width="0" style="284" hidden="1" customWidth="1"/>
    <col min="6685" max="6912" width="9.140625" style="284"/>
    <col min="6913" max="6913" width="5" style="284" customWidth="1"/>
    <col min="6914" max="6914" width="46.85546875" style="284" customWidth="1"/>
    <col min="6915" max="6915" width="10.7109375" style="284" customWidth="1"/>
    <col min="6916" max="6916" width="11.5703125" style="284" customWidth="1"/>
    <col min="6917" max="6917" width="10.7109375" style="284" customWidth="1"/>
    <col min="6918" max="6918" width="11.7109375" style="284" customWidth="1"/>
    <col min="6919" max="6919" width="13.5703125" style="284" customWidth="1"/>
    <col min="6920" max="6921" width="16.42578125" style="284" customWidth="1"/>
    <col min="6922" max="6922" width="11.140625" style="284" customWidth="1"/>
    <col min="6923" max="6923" width="19.140625" style="284" customWidth="1"/>
    <col min="6924" max="6924" width="17.85546875" style="284" customWidth="1"/>
    <col min="6925" max="6925" width="14.5703125" style="284" customWidth="1"/>
    <col min="6926" max="6926" width="15.7109375" style="284" customWidth="1"/>
    <col min="6927" max="6927" width="16.85546875" style="284" customWidth="1"/>
    <col min="6928" max="6928" width="17.85546875" style="284" customWidth="1"/>
    <col min="6929" max="6929" width="16.5703125" style="284" customWidth="1"/>
    <col min="6930" max="6930" width="17" style="284" customWidth="1"/>
    <col min="6931" max="6931" width="11.140625" style="284" customWidth="1"/>
    <col min="6932" max="6932" width="11" style="284" customWidth="1"/>
    <col min="6933" max="6940" width="0" style="284" hidden="1" customWidth="1"/>
    <col min="6941" max="7168" width="9.140625" style="284"/>
    <col min="7169" max="7169" width="5" style="284" customWidth="1"/>
    <col min="7170" max="7170" width="46.85546875" style="284" customWidth="1"/>
    <col min="7171" max="7171" width="10.7109375" style="284" customWidth="1"/>
    <col min="7172" max="7172" width="11.5703125" style="284" customWidth="1"/>
    <col min="7173" max="7173" width="10.7109375" style="284" customWidth="1"/>
    <col min="7174" max="7174" width="11.7109375" style="284" customWidth="1"/>
    <col min="7175" max="7175" width="13.5703125" style="284" customWidth="1"/>
    <col min="7176" max="7177" width="16.42578125" style="284" customWidth="1"/>
    <col min="7178" max="7178" width="11.140625" style="284" customWidth="1"/>
    <col min="7179" max="7179" width="19.140625" style="284" customWidth="1"/>
    <col min="7180" max="7180" width="17.85546875" style="284" customWidth="1"/>
    <col min="7181" max="7181" width="14.5703125" style="284" customWidth="1"/>
    <col min="7182" max="7182" width="15.7109375" style="284" customWidth="1"/>
    <col min="7183" max="7183" width="16.85546875" style="284" customWidth="1"/>
    <col min="7184" max="7184" width="17.85546875" style="284" customWidth="1"/>
    <col min="7185" max="7185" width="16.5703125" style="284" customWidth="1"/>
    <col min="7186" max="7186" width="17" style="284" customWidth="1"/>
    <col min="7187" max="7187" width="11.140625" style="284" customWidth="1"/>
    <col min="7188" max="7188" width="11" style="284" customWidth="1"/>
    <col min="7189" max="7196" width="0" style="284" hidden="1" customWidth="1"/>
    <col min="7197" max="7424" width="9.140625" style="284"/>
    <col min="7425" max="7425" width="5" style="284" customWidth="1"/>
    <col min="7426" max="7426" width="46.85546875" style="284" customWidth="1"/>
    <col min="7427" max="7427" width="10.7109375" style="284" customWidth="1"/>
    <col min="7428" max="7428" width="11.5703125" style="284" customWidth="1"/>
    <col min="7429" max="7429" width="10.7109375" style="284" customWidth="1"/>
    <col min="7430" max="7430" width="11.7109375" style="284" customWidth="1"/>
    <col min="7431" max="7431" width="13.5703125" style="284" customWidth="1"/>
    <col min="7432" max="7433" width="16.42578125" style="284" customWidth="1"/>
    <col min="7434" max="7434" width="11.140625" style="284" customWidth="1"/>
    <col min="7435" max="7435" width="19.140625" style="284" customWidth="1"/>
    <col min="7436" max="7436" width="17.85546875" style="284" customWidth="1"/>
    <col min="7437" max="7437" width="14.5703125" style="284" customWidth="1"/>
    <col min="7438" max="7438" width="15.7109375" style="284" customWidth="1"/>
    <col min="7439" max="7439" width="16.85546875" style="284" customWidth="1"/>
    <col min="7440" max="7440" width="17.85546875" style="284" customWidth="1"/>
    <col min="7441" max="7441" width="16.5703125" style="284" customWidth="1"/>
    <col min="7442" max="7442" width="17" style="284" customWidth="1"/>
    <col min="7443" max="7443" width="11.140625" style="284" customWidth="1"/>
    <col min="7444" max="7444" width="11" style="284" customWidth="1"/>
    <col min="7445" max="7452" width="0" style="284" hidden="1" customWidth="1"/>
    <col min="7453" max="7680" width="9.140625" style="284"/>
    <col min="7681" max="7681" width="5" style="284" customWidth="1"/>
    <col min="7682" max="7682" width="46.85546875" style="284" customWidth="1"/>
    <col min="7683" max="7683" width="10.7109375" style="284" customWidth="1"/>
    <col min="7684" max="7684" width="11.5703125" style="284" customWidth="1"/>
    <col min="7685" max="7685" width="10.7109375" style="284" customWidth="1"/>
    <col min="7686" max="7686" width="11.7109375" style="284" customWidth="1"/>
    <col min="7687" max="7687" width="13.5703125" style="284" customWidth="1"/>
    <col min="7688" max="7689" width="16.42578125" style="284" customWidth="1"/>
    <col min="7690" max="7690" width="11.140625" style="284" customWidth="1"/>
    <col min="7691" max="7691" width="19.140625" style="284" customWidth="1"/>
    <col min="7692" max="7692" width="17.85546875" style="284" customWidth="1"/>
    <col min="7693" max="7693" width="14.5703125" style="284" customWidth="1"/>
    <col min="7694" max="7694" width="15.7109375" style="284" customWidth="1"/>
    <col min="7695" max="7695" width="16.85546875" style="284" customWidth="1"/>
    <col min="7696" max="7696" width="17.85546875" style="284" customWidth="1"/>
    <col min="7697" max="7697" width="16.5703125" style="284" customWidth="1"/>
    <col min="7698" max="7698" width="17" style="284" customWidth="1"/>
    <col min="7699" max="7699" width="11.140625" style="284" customWidth="1"/>
    <col min="7700" max="7700" width="11" style="284" customWidth="1"/>
    <col min="7701" max="7708" width="0" style="284" hidden="1" customWidth="1"/>
    <col min="7709" max="7936" width="9.140625" style="284"/>
    <col min="7937" max="7937" width="5" style="284" customWidth="1"/>
    <col min="7938" max="7938" width="46.85546875" style="284" customWidth="1"/>
    <col min="7939" max="7939" width="10.7109375" style="284" customWidth="1"/>
    <col min="7940" max="7940" width="11.5703125" style="284" customWidth="1"/>
    <col min="7941" max="7941" width="10.7109375" style="284" customWidth="1"/>
    <col min="7942" max="7942" width="11.7109375" style="284" customWidth="1"/>
    <col min="7943" max="7943" width="13.5703125" style="284" customWidth="1"/>
    <col min="7944" max="7945" width="16.42578125" style="284" customWidth="1"/>
    <col min="7946" max="7946" width="11.140625" style="284" customWidth="1"/>
    <col min="7947" max="7947" width="19.140625" style="284" customWidth="1"/>
    <col min="7948" max="7948" width="17.85546875" style="284" customWidth="1"/>
    <col min="7949" max="7949" width="14.5703125" style="284" customWidth="1"/>
    <col min="7950" max="7950" width="15.7109375" style="284" customWidth="1"/>
    <col min="7951" max="7951" width="16.85546875" style="284" customWidth="1"/>
    <col min="7952" max="7952" width="17.85546875" style="284" customWidth="1"/>
    <col min="7953" max="7953" width="16.5703125" style="284" customWidth="1"/>
    <col min="7954" max="7954" width="17" style="284" customWidth="1"/>
    <col min="7955" max="7955" width="11.140625" style="284" customWidth="1"/>
    <col min="7956" max="7956" width="11" style="284" customWidth="1"/>
    <col min="7957" max="7964" width="0" style="284" hidden="1" customWidth="1"/>
    <col min="7965" max="8192" width="9.140625" style="284"/>
    <col min="8193" max="8193" width="5" style="284" customWidth="1"/>
    <col min="8194" max="8194" width="46.85546875" style="284" customWidth="1"/>
    <col min="8195" max="8195" width="10.7109375" style="284" customWidth="1"/>
    <col min="8196" max="8196" width="11.5703125" style="284" customWidth="1"/>
    <col min="8197" max="8197" width="10.7109375" style="284" customWidth="1"/>
    <col min="8198" max="8198" width="11.7109375" style="284" customWidth="1"/>
    <col min="8199" max="8199" width="13.5703125" style="284" customWidth="1"/>
    <col min="8200" max="8201" width="16.42578125" style="284" customWidth="1"/>
    <col min="8202" max="8202" width="11.140625" style="284" customWidth="1"/>
    <col min="8203" max="8203" width="19.140625" style="284" customWidth="1"/>
    <col min="8204" max="8204" width="17.85546875" style="284" customWidth="1"/>
    <col min="8205" max="8205" width="14.5703125" style="284" customWidth="1"/>
    <col min="8206" max="8206" width="15.7109375" style="284" customWidth="1"/>
    <col min="8207" max="8207" width="16.85546875" style="284" customWidth="1"/>
    <col min="8208" max="8208" width="17.85546875" style="284" customWidth="1"/>
    <col min="8209" max="8209" width="16.5703125" style="284" customWidth="1"/>
    <col min="8210" max="8210" width="17" style="284" customWidth="1"/>
    <col min="8211" max="8211" width="11.140625" style="284" customWidth="1"/>
    <col min="8212" max="8212" width="11" style="284" customWidth="1"/>
    <col min="8213" max="8220" width="0" style="284" hidden="1" customWidth="1"/>
    <col min="8221" max="8448" width="9.140625" style="284"/>
    <col min="8449" max="8449" width="5" style="284" customWidth="1"/>
    <col min="8450" max="8450" width="46.85546875" style="284" customWidth="1"/>
    <col min="8451" max="8451" width="10.7109375" style="284" customWidth="1"/>
    <col min="8452" max="8452" width="11.5703125" style="284" customWidth="1"/>
    <col min="8453" max="8453" width="10.7109375" style="284" customWidth="1"/>
    <col min="8454" max="8454" width="11.7109375" style="284" customWidth="1"/>
    <col min="8455" max="8455" width="13.5703125" style="284" customWidth="1"/>
    <col min="8456" max="8457" width="16.42578125" style="284" customWidth="1"/>
    <col min="8458" max="8458" width="11.140625" style="284" customWidth="1"/>
    <col min="8459" max="8459" width="19.140625" style="284" customWidth="1"/>
    <col min="8460" max="8460" width="17.85546875" style="284" customWidth="1"/>
    <col min="8461" max="8461" width="14.5703125" style="284" customWidth="1"/>
    <col min="8462" max="8462" width="15.7109375" style="284" customWidth="1"/>
    <col min="8463" max="8463" width="16.85546875" style="284" customWidth="1"/>
    <col min="8464" max="8464" width="17.85546875" style="284" customWidth="1"/>
    <col min="8465" max="8465" width="16.5703125" style="284" customWidth="1"/>
    <col min="8466" max="8466" width="17" style="284" customWidth="1"/>
    <col min="8467" max="8467" width="11.140625" style="284" customWidth="1"/>
    <col min="8468" max="8468" width="11" style="284" customWidth="1"/>
    <col min="8469" max="8476" width="0" style="284" hidden="1" customWidth="1"/>
    <col min="8477" max="8704" width="9.140625" style="284"/>
    <col min="8705" max="8705" width="5" style="284" customWidth="1"/>
    <col min="8706" max="8706" width="46.85546875" style="284" customWidth="1"/>
    <col min="8707" max="8707" width="10.7109375" style="284" customWidth="1"/>
    <col min="8708" max="8708" width="11.5703125" style="284" customWidth="1"/>
    <col min="8709" max="8709" width="10.7109375" style="284" customWidth="1"/>
    <col min="8710" max="8710" width="11.7109375" style="284" customWidth="1"/>
    <col min="8711" max="8711" width="13.5703125" style="284" customWidth="1"/>
    <col min="8712" max="8713" width="16.42578125" style="284" customWidth="1"/>
    <col min="8714" max="8714" width="11.140625" style="284" customWidth="1"/>
    <col min="8715" max="8715" width="19.140625" style="284" customWidth="1"/>
    <col min="8716" max="8716" width="17.85546875" style="284" customWidth="1"/>
    <col min="8717" max="8717" width="14.5703125" style="284" customWidth="1"/>
    <col min="8718" max="8718" width="15.7109375" style="284" customWidth="1"/>
    <col min="8719" max="8719" width="16.85546875" style="284" customWidth="1"/>
    <col min="8720" max="8720" width="17.85546875" style="284" customWidth="1"/>
    <col min="8721" max="8721" width="16.5703125" style="284" customWidth="1"/>
    <col min="8722" max="8722" width="17" style="284" customWidth="1"/>
    <col min="8723" max="8723" width="11.140625" style="284" customWidth="1"/>
    <col min="8724" max="8724" width="11" style="284" customWidth="1"/>
    <col min="8725" max="8732" width="0" style="284" hidden="1" customWidth="1"/>
    <col min="8733" max="8960" width="9.140625" style="284"/>
    <col min="8961" max="8961" width="5" style="284" customWidth="1"/>
    <col min="8962" max="8962" width="46.85546875" style="284" customWidth="1"/>
    <col min="8963" max="8963" width="10.7109375" style="284" customWidth="1"/>
    <col min="8964" max="8964" width="11.5703125" style="284" customWidth="1"/>
    <col min="8965" max="8965" width="10.7109375" style="284" customWidth="1"/>
    <col min="8966" max="8966" width="11.7109375" style="284" customWidth="1"/>
    <col min="8967" max="8967" width="13.5703125" style="284" customWidth="1"/>
    <col min="8968" max="8969" width="16.42578125" style="284" customWidth="1"/>
    <col min="8970" max="8970" width="11.140625" style="284" customWidth="1"/>
    <col min="8971" max="8971" width="19.140625" style="284" customWidth="1"/>
    <col min="8972" max="8972" width="17.85546875" style="284" customWidth="1"/>
    <col min="8973" max="8973" width="14.5703125" style="284" customWidth="1"/>
    <col min="8974" max="8974" width="15.7109375" style="284" customWidth="1"/>
    <col min="8975" max="8975" width="16.85546875" style="284" customWidth="1"/>
    <col min="8976" max="8976" width="17.85546875" style="284" customWidth="1"/>
    <col min="8977" max="8977" width="16.5703125" style="284" customWidth="1"/>
    <col min="8978" max="8978" width="17" style="284" customWidth="1"/>
    <col min="8979" max="8979" width="11.140625" style="284" customWidth="1"/>
    <col min="8980" max="8980" width="11" style="284" customWidth="1"/>
    <col min="8981" max="8988" width="0" style="284" hidden="1" customWidth="1"/>
    <col min="8989" max="9216" width="9.140625" style="284"/>
    <col min="9217" max="9217" width="5" style="284" customWidth="1"/>
    <col min="9218" max="9218" width="46.85546875" style="284" customWidth="1"/>
    <col min="9219" max="9219" width="10.7109375" style="284" customWidth="1"/>
    <col min="9220" max="9220" width="11.5703125" style="284" customWidth="1"/>
    <col min="9221" max="9221" width="10.7109375" style="284" customWidth="1"/>
    <col min="9222" max="9222" width="11.7109375" style="284" customWidth="1"/>
    <col min="9223" max="9223" width="13.5703125" style="284" customWidth="1"/>
    <col min="9224" max="9225" width="16.42578125" style="284" customWidth="1"/>
    <col min="9226" max="9226" width="11.140625" style="284" customWidth="1"/>
    <col min="9227" max="9227" width="19.140625" style="284" customWidth="1"/>
    <col min="9228" max="9228" width="17.85546875" style="284" customWidth="1"/>
    <col min="9229" max="9229" width="14.5703125" style="284" customWidth="1"/>
    <col min="9230" max="9230" width="15.7109375" style="284" customWidth="1"/>
    <col min="9231" max="9231" width="16.85546875" style="284" customWidth="1"/>
    <col min="9232" max="9232" width="17.85546875" style="284" customWidth="1"/>
    <col min="9233" max="9233" width="16.5703125" style="284" customWidth="1"/>
    <col min="9234" max="9234" width="17" style="284" customWidth="1"/>
    <col min="9235" max="9235" width="11.140625" style="284" customWidth="1"/>
    <col min="9236" max="9236" width="11" style="284" customWidth="1"/>
    <col min="9237" max="9244" width="0" style="284" hidden="1" customWidth="1"/>
    <col min="9245" max="9472" width="9.140625" style="284"/>
    <col min="9473" max="9473" width="5" style="284" customWidth="1"/>
    <col min="9474" max="9474" width="46.85546875" style="284" customWidth="1"/>
    <col min="9475" max="9475" width="10.7109375" style="284" customWidth="1"/>
    <col min="9476" max="9476" width="11.5703125" style="284" customWidth="1"/>
    <col min="9477" max="9477" width="10.7109375" style="284" customWidth="1"/>
    <col min="9478" max="9478" width="11.7109375" style="284" customWidth="1"/>
    <col min="9479" max="9479" width="13.5703125" style="284" customWidth="1"/>
    <col min="9480" max="9481" width="16.42578125" style="284" customWidth="1"/>
    <col min="9482" max="9482" width="11.140625" style="284" customWidth="1"/>
    <col min="9483" max="9483" width="19.140625" style="284" customWidth="1"/>
    <col min="9484" max="9484" width="17.85546875" style="284" customWidth="1"/>
    <col min="9485" max="9485" width="14.5703125" style="284" customWidth="1"/>
    <col min="9486" max="9486" width="15.7109375" style="284" customWidth="1"/>
    <col min="9487" max="9487" width="16.85546875" style="284" customWidth="1"/>
    <col min="9488" max="9488" width="17.85546875" style="284" customWidth="1"/>
    <col min="9489" max="9489" width="16.5703125" style="284" customWidth="1"/>
    <col min="9490" max="9490" width="17" style="284" customWidth="1"/>
    <col min="9491" max="9491" width="11.140625" style="284" customWidth="1"/>
    <col min="9492" max="9492" width="11" style="284" customWidth="1"/>
    <col min="9493" max="9500" width="0" style="284" hidden="1" customWidth="1"/>
    <col min="9501" max="9728" width="9.140625" style="284"/>
    <col min="9729" max="9729" width="5" style="284" customWidth="1"/>
    <col min="9730" max="9730" width="46.85546875" style="284" customWidth="1"/>
    <col min="9731" max="9731" width="10.7109375" style="284" customWidth="1"/>
    <col min="9732" max="9732" width="11.5703125" style="284" customWidth="1"/>
    <col min="9733" max="9733" width="10.7109375" style="284" customWidth="1"/>
    <col min="9734" max="9734" width="11.7109375" style="284" customWidth="1"/>
    <col min="9735" max="9735" width="13.5703125" style="284" customWidth="1"/>
    <col min="9736" max="9737" width="16.42578125" style="284" customWidth="1"/>
    <col min="9738" max="9738" width="11.140625" style="284" customWidth="1"/>
    <col min="9739" max="9739" width="19.140625" style="284" customWidth="1"/>
    <col min="9740" max="9740" width="17.85546875" style="284" customWidth="1"/>
    <col min="9741" max="9741" width="14.5703125" style="284" customWidth="1"/>
    <col min="9742" max="9742" width="15.7109375" style="284" customWidth="1"/>
    <col min="9743" max="9743" width="16.85546875" style="284" customWidth="1"/>
    <col min="9744" max="9744" width="17.85546875" style="284" customWidth="1"/>
    <col min="9745" max="9745" width="16.5703125" style="284" customWidth="1"/>
    <col min="9746" max="9746" width="17" style="284" customWidth="1"/>
    <col min="9747" max="9747" width="11.140625" style="284" customWidth="1"/>
    <col min="9748" max="9748" width="11" style="284" customWidth="1"/>
    <col min="9749" max="9756" width="0" style="284" hidden="1" customWidth="1"/>
    <col min="9757" max="9984" width="9.140625" style="284"/>
    <col min="9985" max="9985" width="5" style="284" customWidth="1"/>
    <col min="9986" max="9986" width="46.85546875" style="284" customWidth="1"/>
    <col min="9987" max="9987" width="10.7109375" style="284" customWidth="1"/>
    <col min="9988" max="9988" width="11.5703125" style="284" customWidth="1"/>
    <col min="9989" max="9989" width="10.7109375" style="284" customWidth="1"/>
    <col min="9990" max="9990" width="11.7109375" style="284" customWidth="1"/>
    <col min="9991" max="9991" width="13.5703125" style="284" customWidth="1"/>
    <col min="9992" max="9993" width="16.42578125" style="284" customWidth="1"/>
    <col min="9994" max="9994" width="11.140625" style="284" customWidth="1"/>
    <col min="9995" max="9995" width="19.140625" style="284" customWidth="1"/>
    <col min="9996" max="9996" width="17.85546875" style="284" customWidth="1"/>
    <col min="9997" max="9997" width="14.5703125" style="284" customWidth="1"/>
    <col min="9998" max="9998" width="15.7109375" style="284" customWidth="1"/>
    <col min="9999" max="9999" width="16.85546875" style="284" customWidth="1"/>
    <col min="10000" max="10000" width="17.85546875" style="284" customWidth="1"/>
    <col min="10001" max="10001" width="16.5703125" style="284" customWidth="1"/>
    <col min="10002" max="10002" width="17" style="284" customWidth="1"/>
    <col min="10003" max="10003" width="11.140625" style="284" customWidth="1"/>
    <col min="10004" max="10004" width="11" style="284" customWidth="1"/>
    <col min="10005" max="10012" width="0" style="284" hidden="1" customWidth="1"/>
    <col min="10013" max="10240" width="9.140625" style="284"/>
    <col min="10241" max="10241" width="5" style="284" customWidth="1"/>
    <col min="10242" max="10242" width="46.85546875" style="284" customWidth="1"/>
    <col min="10243" max="10243" width="10.7109375" style="284" customWidth="1"/>
    <col min="10244" max="10244" width="11.5703125" style="284" customWidth="1"/>
    <col min="10245" max="10245" width="10.7109375" style="284" customWidth="1"/>
    <col min="10246" max="10246" width="11.7109375" style="284" customWidth="1"/>
    <col min="10247" max="10247" width="13.5703125" style="284" customWidth="1"/>
    <col min="10248" max="10249" width="16.42578125" style="284" customWidth="1"/>
    <col min="10250" max="10250" width="11.140625" style="284" customWidth="1"/>
    <col min="10251" max="10251" width="19.140625" style="284" customWidth="1"/>
    <col min="10252" max="10252" width="17.85546875" style="284" customWidth="1"/>
    <col min="10253" max="10253" width="14.5703125" style="284" customWidth="1"/>
    <col min="10254" max="10254" width="15.7109375" style="284" customWidth="1"/>
    <col min="10255" max="10255" width="16.85546875" style="284" customWidth="1"/>
    <col min="10256" max="10256" width="17.85546875" style="284" customWidth="1"/>
    <col min="10257" max="10257" width="16.5703125" style="284" customWidth="1"/>
    <col min="10258" max="10258" width="17" style="284" customWidth="1"/>
    <col min="10259" max="10259" width="11.140625" style="284" customWidth="1"/>
    <col min="10260" max="10260" width="11" style="284" customWidth="1"/>
    <col min="10261" max="10268" width="0" style="284" hidden="1" customWidth="1"/>
    <col min="10269" max="10496" width="9.140625" style="284"/>
    <col min="10497" max="10497" width="5" style="284" customWidth="1"/>
    <col min="10498" max="10498" width="46.85546875" style="284" customWidth="1"/>
    <col min="10499" max="10499" width="10.7109375" style="284" customWidth="1"/>
    <col min="10500" max="10500" width="11.5703125" style="284" customWidth="1"/>
    <col min="10501" max="10501" width="10.7109375" style="284" customWidth="1"/>
    <col min="10502" max="10502" width="11.7109375" style="284" customWidth="1"/>
    <col min="10503" max="10503" width="13.5703125" style="284" customWidth="1"/>
    <col min="10504" max="10505" width="16.42578125" style="284" customWidth="1"/>
    <col min="10506" max="10506" width="11.140625" style="284" customWidth="1"/>
    <col min="10507" max="10507" width="19.140625" style="284" customWidth="1"/>
    <col min="10508" max="10508" width="17.85546875" style="284" customWidth="1"/>
    <col min="10509" max="10509" width="14.5703125" style="284" customWidth="1"/>
    <col min="10510" max="10510" width="15.7109375" style="284" customWidth="1"/>
    <col min="10511" max="10511" width="16.85546875" style="284" customWidth="1"/>
    <col min="10512" max="10512" width="17.85546875" style="284" customWidth="1"/>
    <col min="10513" max="10513" width="16.5703125" style="284" customWidth="1"/>
    <col min="10514" max="10514" width="17" style="284" customWidth="1"/>
    <col min="10515" max="10515" width="11.140625" style="284" customWidth="1"/>
    <col min="10516" max="10516" width="11" style="284" customWidth="1"/>
    <col min="10517" max="10524" width="0" style="284" hidden="1" customWidth="1"/>
    <col min="10525" max="10752" width="9.140625" style="284"/>
    <col min="10753" max="10753" width="5" style="284" customWidth="1"/>
    <col min="10754" max="10754" width="46.85546875" style="284" customWidth="1"/>
    <col min="10755" max="10755" width="10.7109375" style="284" customWidth="1"/>
    <col min="10756" max="10756" width="11.5703125" style="284" customWidth="1"/>
    <col min="10757" max="10757" width="10.7109375" style="284" customWidth="1"/>
    <col min="10758" max="10758" width="11.7109375" style="284" customWidth="1"/>
    <col min="10759" max="10759" width="13.5703125" style="284" customWidth="1"/>
    <col min="10760" max="10761" width="16.42578125" style="284" customWidth="1"/>
    <col min="10762" max="10762" width="11.140625" style="284" customWidth="1"/>
    <col min="10763" max="10763" width="19.140625" style="284" customWidth="1"/>
    <col min="10764" max="10764" width="17.85546875" style="284" customWidth="1"/>
    <col min="10765" max="10765" width="14.5703125" style="284" customWidth="1"/>
    <col min="10766" max="10766" width="15.7109375" style="284" customWidth="1"/>
    <col min="10767" max="10767" width="16.85546875" style="284" customWidth="1"/>
    <col min="10768" max="10768" width="17.85546875" style="284" customWidth="1"/>
    <col min="10769" max="10769" width="16.5703125" style="284" customWidth="1"/>
    <col min="10770" max="10770" width="17" style="284" customWidth="1"/>
    <col min="10771" max="10771" width="11.140625" style="284" customWidth="1"/>
    <col min="10772" max="10772" width="11" style="284" customWidth="1"/>
    <col min="10773" max="10780" width="0" style="284" hidden="1" customWidth="1"/>
    <col min="10781" max="11008" width="9.140625" style="284"/>
    <col min="11009" max="11009" width="5" style="284" customWidth="1"/>
    <col min="11010" max="11010" width="46.85546875" style="284" customWidth="1"/>
    <col min="11011" max="11011" width="10.7109375" style="284" customWidth="1"/>
    <col min="11012" max="11012" width="11.5703125" style="284" customWidth="1"/>
    <col min="11013" max="11013" width="10.7109375" style="284" customWidth="1"/>
    <col min="11014" max="11014" width="11.7109375" style="284" customWidth="1"/>
    <col min="11015" max="11015" width="13.5703125" style="284" customWidth="1"/>
    <col min="11016" max="11017" width="16.42578125" style="284" customWidth="1"/>
    <col min="11018" max="11018" width="11.140625" style="284" customWidth="1"/>
    <col min="11019" max="11019" width="19.140625" style="284" customWidth="1"/>
    <col min="11020" max="11020" width="17.85546875" style="284" customWidth="1"/>
    <col min="11021" max="11021" width="14.5703125" style="284" customWidth="1"/>
    <col min="11022" max="11022" width="15.7109375" style="284" customWidth="1"/>
    <col min="11023" max="11023" width="16.85546875" style="284" customWidth="1"/>
    <col min="11024" max="11024" width="17.85546875" style="284" customWidth="1"/>
    <col min="11025" max="11025" width="16.5703125" style="284" customWidth="1"/>
    <col min="11026" max="11026" width="17" style="284" customWidth="1"/>
    <col min="11027" max="11027" width="11.140625" style="284" customWidth="1"/>
    <col min="11028" max="11028" width="11" style="284" customWidth="1"/>
    <col min="11029" max="11036" width="0" style="284" hidden="1" customWidth="1"/>
    <col min="11037" max="11264" width="9.140625" style="284"/>
    <col min="11265" max="11265" width="5" style="284" customWidth="1"/>
    <col min="11266" max="11266" width="46.85546875" style="284" customWidth="1"/>
    <col min="11267" max="11267" width="10.7109375" style="284" customWidth="1"/>
    <col min="11268" max="11268" width="11.5703125" style="284" customWidth="1"/>
    <col min="11269" max="11269" width="10.7109375" style="284" customWidth="1"/>
    <col min="11270" max="11270" width="11.7109375" style="284" customWidth="1"/>
    <col min="11271" max="11271" width="13.5703125" style="284" customWidth="1"/>
    <col min="11272" max="11273" width="16.42578125" style="284" customWidth="1"/>
    <col min="11274" max="11274" width="11.140625" style="284" customWidth="1"/>
    <col min="11275" max="11275" width="19.140625" style="284" customWidth="1"/>
    <col min="11276" max="11276" width="17.85546875" style="284" customWidth="1"/>
    <col min="11277" max="11277" width="14.5703125" style="284" customWidth="1"/>
    <col min="11278" max="11278" width="15.7109375" style="284" customWidth="1"/>
    <col min="11279" max="11279" width="16.85546875" style="284" customWidth="1"/>
    <col min="11280" max="11280" width="17.85546875" style="284" customWidth="1"/>
    <col min="11281" max="11281" width="16.5703125" style="284" customWidth="1"/>
    <col min="11282" max="11282" width="17" style="284" customWidth="1"/>
    <col min="11283" max="11283" width="11.140625" style="284" customWidth="1"/>
    <col min="11284" max="11284" width="11" style="284" customWidth="1"/>
    <col min="11285" max="11292" width="0" style="284" hidden="1" customWidth="1"/>
    <col min="11293" max="11520" width="9.140625" style="284"/>
    <col min="11521" max="11521" width="5" style="284" customWidth="1"/>
    <col min="11522" max="11522" width="46.85546875" style="284" customWidth="1"/>
    <col min="11523" max="11523" width="10.7109375" style="284" customWidth="1"/>
    <col min="11524" max="11524" width="11.5703125" style="284" customWidth="1"/>
    <col min="11525" max="11525" width="10.7109375" style="284" customWidth="1"/>
    <col min="11526" max="11526" width="11.7109375" style="284" customWidth="1"/>
    <col min="11527" max="11527" width="13.5703125" style="284" customWidth="1"/>
    <col min="11528" max="11529" width="16.42578125" style="284" customWidth="1"/>
    <col min="11530" max="11530" width="11.140625" style="284" customWidth="1"/>
    <col min="11531" max="11531" width="19.140625" style="284" customWidth="1"/>
    <col min="11532" max="11532" width="17.85546875" style="284" customWidth="1"/>
    <col min="11533" max="11533" width="14.5703125" style="284" customWidth="1"/>
    <col min="11534" max="11534" width="15.7109375" style="284" customWidth="1"/>
    <col min="11535" max="11535" width="16.85546875" style="284" customWidth="1"/>
    <col min="11536" max="11536" width="17.85546875" style="284" customWidth="1"/>
    <col min="11537" max="11537" width="16.5703125" style="284" customWidth="1"/>
    <col min="11538" max="11538" width="17" style="284" customWidth="1"/>
    <col min="11539" max="11539" width="11.140625" style="284" customWidth="1"/>
    <col min="11540" max="11540" width="11" style="284" customWidth="1"/>
    <col min="11541" max="11548" width="0" style="284" hidden="1" customWidth="1"/>
    <col min="11549" max="11776" width="9.140625" style="284"/>
    <col min="11777" max="11777" width="5" style="284" customWidth="1"/>
    <col min="11778" max="11778" width="46.85546875" style="284" customWidth="1"/>
    <col min="11779" max="11779" width="10.7109375" style="284" customWidth="1"/>
    <col min="11780" max="11780" width="11.5703125" style="284" customWidth="1"/>
    <col min="11781" max="11781" width="10.7109375" style="284" customWidth="1"/>
    <col min="11782" max="11782" width="11.7109375" style="284" customWidth="1"/>
    <col min="11783" max="11783" width="13.5703125" style="284" customWidth="1"/>
    <col min="11784" max="11785" width="16.42578125" style="284" customWidth="1"/>
    <col min="11786" max="11786" width="11.140625" style="284" customWidth="1"/>
    <col min="11787" max="11787" width="19.140625" style="284" customWidth="1"/>
    <col min="11788" max="11788" width="17.85546875" style="284" customWidth="1"/>
    <col min="11789" max="11789" width="14.5703125" style="284" customWidth="1"/>
    <col min="11790" max="11790" width="15.7109375" style="284" customWidth="1"/>
    <col min="11791" max="11791" width="16.85546875" style="284" customWidth="1"/>
    <col min="11792" max="11792" width="17.85546875" style="284" customWidth="1"/>
    <col min="11793" max="11793" width="16.5703125" style="284" customWidth="1"/>
    <col min="11794" max="11794" width="17" style="284" customWidth="1"/>
    <col min="11795" max="11795" width="11.140625" style="284" customWidth="1"/>
    <col min="11796" max="11796" width="11" style="284" customWidth="1"/>
    <col min="11797" max="11804" width="0" style="284" hidden="1" customWidth="1"/>
    <col min="11805" max="12032" width="9.140625" style="284"/>
    <col min="12033" max="12033" width="5" style="284" customWidth="1"/>
    <col min="12034" max="12034" width="46.85546875" style="284" customWidth="1"/>
    <col min="12035" max="12035" width="10.7109375" style="284" customWidth="1"/>
    <col min="12036" max="12036" width="11.5703125" style="284" customWidth="1"/>
    <col min="12037" max="12037" width="10.7109375" style="284" customWidth="1"/>
    <col min="12038" max="12038" width="11.7109375" style="284" customWidth="1"/>
    <col min="12039" max="12039" width="13.5703125" style="284" customWidth="1"/>
    <col min="12040" max="12041" width="16.42578125" style="284" customWidth="1"/>
    <col min="12042" max="12042" width="11.140625" style="284" customWidth="1"/>
    <col min="12043" max="12043" width="19.140625" style="284" customWidth="1"/>
    <col min="12044" max="12044" width="17.85546875" style="284" customWidth="1"/>
    <col min="12045" max="12045" width="14.5703125" style="284" customWidth="1"/>
    <col min="12046" max="12046" width="15.7109375" style="284" customWidth="1"/>
    <col min="12047" max="12047" width="16.85546875" style="284" customWidth="1"/>
    <col min="12048" max="12048" width="17.85546875" style="284" customWidth="1"/>
    <col min="12049" max="12049" width="16.5703125" style="284" customWidth="1"/>
    <col min="12050" max="12050" width="17" style="284" customWidth="1"/>
    <col min="12051" max="12051" width="11.140625" style="284" customWidth="1"/>
    <col min="12052" max="12052" width="11" style="284" customWidth="1"/>
    <col min="12053" max="12060" width="0" style="284" hidden="1" customWidth="1"/>
    <col min="12061" max="12288" width="9.140625" style="284"/>
    <col min="12289" max="12289" width="5" style="284" customWidth="1"/>
    <col min="12290" max="12290" width="46.85546875" style="284" customWidth="1"/>
    <col min="12291" max="12291" width="10.7109375" style="284" customWidth="1"/>
    <col min="12292" max="12292" width="11.5703125" style="284" customWidth="1"/>
    <col min="12293" max="12293" width="10.7109375" style="284" customWidth="1"/>
    <col min="12294" max="12294" width="11.7109375" style="284" customWidth="1"/>
    <col min="12295" max="12295" width="13.5703125" style="284" customWidth="1"/>
    <col min="12296" max="12297" width="16.42578125" style="284" customWidth="1"/>
    <col min="12298" max="12298" width="11.140625" style="284" customWidth="1"/>
    <col min="12299" max="12299" width="19.140625" style="284" customWidth="1"/>
    <col min="12300" max="12300" width="17.85546875" style="284" customWidth="1"/>
    <col min="12301" max="12301" width="14.5703125" style="284" customWidth="1"/>
    <col min="12302" max="12302" width="15.7109375" style="284" customWidth="1"/>
    <col min="12303" max="12303" width="16.85546875" style="284" customWidth="1"/>
    <col min="12304" max="12304" width="17.85546875" style="284" customWidth="1"/>
    <col min="12305" max="12305" width="16.5703125" style="284" customWidth="1"/>
    <col min="12306" max="12306" width="17" style="284" customWidth="1"/>
    <col min="12307" max="12307" width="11.140625" style="284" customWidth="1"/>
    <col min="12308" max="12308" width="11" style="284" customWidth="1"/>
    <col min="12309" max="12316" width="0" style="284" hidden="1" customWidth="1"/>
    <col min="12317" max="12544" width="9.140625" style="284"/>
    <col min="12545" max="12545" width="5" style="284" customWidth="1"/>
    <col min="12546" max="12546" width="46.85546875" style="284" customWidth="1"/>
    <col min="12547" max="12547" width="10.7109375" style="284" customWidth="1"/>
    <col min="12548" max="12548" width="11.5703125" style="284" customWidth="1"/>
    <col min="12549" max="12549" width="10.7109375" style="284" customWidth="1"/>
    <col min="12550" max="12550" width="11.7109375" style="284" customWidth="1"/>
    <col min="12551" max="12551" width="13.5703125" style="284" customWidth="1"/>
    <col min="12552" max="12553" width="16.42578125" style="284" customWidth="1"/>
    <col min="12554" max="12554" width="11.140625" style="284" customWidth="1"/>
    <col min="12555" max="12555" width="19.140625" style="284" customWidth="1"/>
    <col min="12556" max="12556" width="17.85546875" style="284" customWidth="1"/>
    <col min="12557" max="12557" width="14.5703125" style="284" customWidth="1"/>
    <col min="12558" max="12558" width="15.7109375" style="284" customWidth="1"/>
    <col min="12559" max="12559" width="16.85546875" style="284" customWidth="1"/>
    <col min="12560" max="12560" width="17.85546875" style="284" customWidth="1"/>
    <col min="12561" max="12561" width="16.5703125" style="284" customWidth="1"/>
    <col min="12562" max="12562" width="17" style="284" customWidth="1"/>
    <col min="12563" max="12563" width="11.140625" style="284" customWidth="1"/>
    <col min="12564" max="12564" width="11" style="284" customWidth="1"/>
    <col min="12565" max="12572" width="0" style="284" hidden="1" customWidth="1"/>
    <col min="12573" max="12800" width="9.140625" style="284"/>
    <col min="12801" max="12801" width="5" style="284" customWidth="1"/>
    <col min="12802" max="12802" width="46.85546875" style="284" customWidth="1"/>
    <col min="12803" max="12803" width="10.7109375" style="284" customWidth="1"/>
    <col min="12804" max="12804" width="11.5703125" style="284" customWidth="1"/>
    <col min="12805" max="12805" width="10.7109375" style="284" customWidth="1"/>
    <col min="12806" max="12806" width="11.7109375" style="284" customWidth="1"/>
    <col min="12807" max="12807" width="13.5703125" style="284" customWidth="1"/>
    <col min="12808" max="12809" width="16.42578125" style="284" customWidth="1"/>
    <col min="12810" max="12810" width="11.140625" style="284" customWidth="1"/>
    <col min="12811" max="12811" width="19.140625" style="284" customWidth="1"/>
    <col min="12812" max="12812" width="17.85546875" style="284" customWidth="1"/>
    <col min="12813" max="12813" width="14.5703125" style="284" customWidth="1"/>
    <col min="12814" max="12814" width="15.7109375" style="284" customWidth="1"/>
    <col min="12815" max="12815" width="16.85546875" style="284" customWidth="1"/>
    <col min="12816" max="12816" width="17.85546875" style="284" customWidth="1"/>
    <col min="12817" max="12817" width="16.5703125" style="284" customWidth="1"/>
    <col min="12818" max="12818" width="17" style="284" customWidth="1"/>
    <col min="12819" max="12819" width="11.140625" style="284" customWidth="1"/>
    <col min="12820" max="12820" width="11" style="284" customWidth="1"/>
    <col min="12821" max="12828" width="0" style="284" hidden="1" customWidth="1"/>
    <col min="12829" max="13056" width="9.140625" style="284"/>
    <col min="13057" max="13057" width="5" style="284" customWidth="1"/>
    <col min="13058" max="13058" width="46.85546875" style="284" customWidth="1"/>
    <col min="13059" max="13059" width="10.7109375" style="284" customWidth="1"/>
    <col min="13060" max="13060" width="11.5703125" style="284" customWidth="1"/>
    <col min="13061" max="13061" width="10.7109375" style="284" customWidth="1"/>
    <col min="13062" max="13062" width="11.7109375" style="284" customWidth="1"/>
    <col min="13063" max="13063" width="13.5703125" style="284" customWidth="1"/>
    <col min="13064" max="13065" width="16.42578125" style="284" customWidth="1"/>
    <col min="13066" max="13066" width="11.140625" style="284" customWidth="1"/>
    <col min="13067" max="13067" width="19.140625" style="284" customWidth="1"/>
    <col min="13068" max="13068" width="17.85546875" style="284" customWidth="1"/>
    <col min="13069" max="13069" width="14.5703125" style="284" customWidth="1"/>
    <col min="13070" max="13070" width="15.7109375" style="284" customWidth="1"/>
    <col min="13071" max="13071" width="16.85546875" style="284" customWidth="1"/>
    <col min="13072" max="13072" width="17.85546875" style="284" customWidth="1"/>
    <col min="13073" max="13073" width="16.5703125" style="284" customWidth="1"/>
    <col min="13074" max="13074" width="17" style="284" customWidth="1"/>
    <col min="13075" max="13075" width="11.140625" style="284" customWidth="1"/>
    <col min="13076" max="13076" width="11" style="284" customWidth="1"/>
    <col min="13077" max="13084" width="0" style="284" hidden="1" customWidth="1"/>
    <col min="13085" max="13312" width="9.140625" style="284"/>
    <col min="13313" max="13313" width="5" style="284" customWidth="1"/>
    <col min="13314" max="13314" width="46.85546875" style="284" customWidth="1"/>
    <col min="13315" max="13315" width="10.7109375" style="284" customWidth="1"/>
    <col min="13316" max="13316" width="11.5703125" style="284" customWidth="1"/>
    <col min="13317" max="13317" width="10.7109375" style="284" customWidth="1"/>
    <col min="13318" max="13318" width="11.7109375" style="284" customWidth="1"/>
    <col min="13319" max="13319" width="13.5703125" style="284" customWidth="1"/>
    <col min="13320" max="13321" width="16.42578125" style="284" customWidth="1"/>
    <col min="13322" max="13322" width="11.140625" style="284" customWidth="1"/>
    <col min="13323" max="13323" width="19.140625" style="284" customWidth="1"/>
    <col min="13324" max="13324" width="17.85546875" style="284" customWidth="1"/>
    <col min="13325" max="13325" width="14.5703125" style="284" customWidth="1"/>
    <col min="13326" max="13326" width="15.7109375" style="284" customWidth="1"/>
    <col min="13327" max="13327" width="16.85546875" style="284" customWidth="1"/>
    <col min="13328" max="13328" width="17.85546875" style="284" customWidth="1"/>
    <col min="13329" max="13329" width="16.5703125" style="284" customWidth="1"/>
    <col min="13330" max="13330" width="17" style="284" customWidth="1"/>
    <col min="13331" max="13331" width="11.140625" style="284" customWidth="1"/>
    <col min="13332" max="13332" width="11" style="284" customWidth="1"/>
    <col min="13333" max="13340" width="0" style="284" hidden="1" customWidth="1"/>
    <col min="13341" max="13568" width="9.140625" style="284"/>
    <col min="13569" max="13569" width="5" style="284" customWidth="1"/>
    <col min="13570" max="13570" width="46.85546875" style="284" customWidth="1"/>
    <col min="13571" max="13571" width="10.7109375" style="284" customWidth="1"/>
    <col min="13572" max="13572" width="11.5703125" style="284" customWidth="1"/>
    <col min="13573" max="13573" width="10.7109375" style="284" customWidth="1"/>
    <col min="13574" max="13574" width="11.7109375" style="284" customWidth="1"/>
    <col min="13575" max="13575" width="13.5703125" style="284" customWidth="1"/>
    <col min="13576" max="13577" width="16.42578125" style="284" customWidth="1"/>
    <col min="13578" max="13578" width="11.140625" style="284" customWidth="1"/>
    <col min="13579" max="13579" width="19.140625" style="284" customWidth="1"/>
    <col min="13580" max="13580" width="17.85546875" style="284" customWidth="1"/>
    <col min="13581" max="13581" width="14.5703125" style="284" customWidth="1"/>
    <col min="13582" max="13582" width="15.7109375" style="284" customWidth="1"/>
    <col min="13583" max="13583" width="16.85546875" style="284" customWidth="1"/>
    <col min="13584" max="13584" width="17.85546875" style="284" customWidth="1"/>
    <col min="13585" max="13585" width="16.5703125" style="284" customWidth="1"/>
    <col min="13586" max="13586" width="17" style="284" customWidth="1"/>
    <col min="13587" max="13587" width="11.140625" style="284" customWidth="1"/>
    <col min="13588" max="13588" width="11" style="284" customWidth="1"/>
    <col min="13589" max="13596" width="0" style="284" hidden="1" customWidth="1"/>
    <col min="13597" max="13824" width="9.140625" style="284"/>
    <col min="13825" max="13825" width="5" style="284" customWidth="1"/>
    <col min="13826" max="13826" width="46.85546875" style="284" customWidth="1"/>
    <col min="13827" max="13827" width="10.7109375" style="284" customWidth="1"/>
    <col min="13828" max="13828" width="11.5703125" style="284" customWidth="1"/>
    <col min="13829" max="13829" width="10.7109375" style="284" customWidth="1"/>
    <col min="13830" max="13830" width="11.7109375" style="284" customWidth="1"/>
    <col min="13831" max="13831" width="13.5703125" style="284" customWidth="1"/>
    <col min="13832" max="13833" width="16.42578125" style="284" customWidth="1"/>
    <col min="13834" max="13834" width="11.140625" style="284" customWidth="1"/>
    <col min="13835" max="13835" width="19.140625" style="284" customWidth="1"/>
    <col min="13836" max="13836" width="17.85546875" style="284" customWidth="1"/>
    <col min="13837" max="13837" width="14.5703125" style="284" customWidth="1"/>
    <col min="13838" max="13838" width="15.7109375" style="284" customWidth="1"/>
    <col min="13839" max="13839" width="16.85546875" style="284" customWidth="1"/>
    <col min="13840" max="13840" width="17.85546875" style="284" customWidth="1"/>
    <col min="13841" max="13841" width="16.5703125" style="284" customWidth="1"/>
    <col min="13842" max="13842" width="17" style="284" customWidth="1"/>
    <col min="13843" max="13843" width="11.140625" style="284" customWidth="1"/>
    <col min="13844" max="13844" width="11" style="284" customWidth="1"/>
    <col min="13845" max="13852" width="0" style="284" hidden="1" customWidth="1"/>
    <col min="13853" max="14080" width="9.140625" style="284"/>
    <col min="14081" max="14081" width="5" style="284" customWidth="1"/>
    <col min="14082" max="14082" width="46.85546875" style="284" customWidth="1"/>
    <col min="14083" max="14083" width="10.7109375" style="284" customWidth="1"/>
    <col min="14084" max="14084" width="11.5703125" style="284" customWidth="1"/>
    <col min="14085" max="14085" width="10.7109375" style="284" customWidth="1"/>
    <col min="14086" max="14086" width="11.7109375" style="284" customWidth="1"/>
    <col min="14087" max="14087" width="13.5703125" style="284" customWidth="1"/>
    <col min="14088" max="14089" width="16.42578125" style="284" customWidth="1"/>
    <col min="14090" max="14090" width="11.140625" style="284" customWidth="1"/>
    <col min="14091" max="14091" width="19.140625" style="284" customWidth="1"/>
    <col min="14092" max="14092" width="17.85546875" style="284" customWidth="1"/>
    <col min="14093" max="14093" width="14.5703125" style="284" customWidth="1"/>
    <col min="14094" max="14094" width="15.7109375" style="284" customWidth="1"/>
    <col min="14095" max="14095" width="16.85546875" style="284" customWidth="1"/>
    <col min="14096" max="14096" width="17.85546875" style="284" customWidth="1"/>
    <col min="14097" max="14097" width="16.5703125" style="284" customWidth="1"/>
    <col min="14098" max="14098" width="17" style="284" customWidth="1"/>
    <col min="14099" max="14099" width="11.140625" style="284" customWidth="1"/>
    <col min="14100" max="14100" width="11" style="284" customWidth="1"/>
    <col min="14101" max="14108" width="0" style="284" hidden="1" customWidth="1"/>
    <col min="14109" max="14336" width="9.140625" style="284"/>
    <col min="14337" max="14337" width="5" style="284" customWidth="1"/>
    <col min="14338" max="14338" width="46.85546875" style="284" customWidth="1"/>
    <col min="14339" max="14339" width="10.7109375" style="284" customWidth="1"/>
    <col min="14340" max="14340" width="11.5703125" style="284" customWidth="1"/>
    <col min="14341" max="14341" width="10.7109375" style="284" customWidth="1"/>
    <col min="14342" max="14342" width="11.7109375" style="284" customWidth="1"/>
    <col min="14343" max="14343" width="13.5703125" style="284" customWidth="1"/>
    <col min="14344" max="14345" width="16.42578125" style="284" customWidth="1"/>
    <col min="14346" max="14346" width="11.140625" style="284" customWidth="1"/>
    <col min="14347" max="14347" width="19.140625" style="284" customWidth="1"/>
    <col min="14348" max="14348" width="17.85546875" style="284" customWidth="1"/>
    <col min="14349" max="14349" width="14.5703125" style="284" customWidth="1"/>
    <col min="14350" max="14350" width="15.7109375" style="284" customWidth="1"/>
    <col min="14351" max="14351" width="16.85546875" style="284" customWidth="1"/>
    <col min="14352" max="14352" width="17.85546875" style="284" customWidth="1"/>
    <col min="14353" max="14353" width="16.5703125" style="284" customWidth="1"/>
    <col min="14354" max="14354" width="17" style="284" customWidth="1"/>
    <col min="14355" max="14355" width="11.140625" style="284" customWidth="1"/>
    <col min="14356" max="14356" width="11" style="284" customWidth="1"/>
    <col min="14357" max="14364" width="0" style="284" hidden="1" customWidth="1"/>
    <col min="14365" max="14592" width="9.140625" style="284"/>
    <col min="14593" max="14593" width="5" style="284" customWidth="1"/>
    <col min="14594" max="14594" width="46.85546875" style="284" customWidth="1"/>
    <col min="14595" max="14595" width="10.7109375" style="284" customWidth="1"/>
    <col min="14596" max="14596" width="11.5703125" style="284" customWidth="1"/>
    <col min="14597" max="14597" width="10.7109375" style="284" customWidth="1"/>
    <col min="14598" max="14598" width="11.7109375" style="284" customWidth="1"/>
    <col min="14599" max="14599" width="13.5703125" style="284" customWidth="1"/>
    <col min="14600" max="14601" width="16.42578125" style="284" customWidth="1"/>
    <col min="14602" max="14602" width="11.140625" style="284" customWidth="1"/>
    <col min="14603" max="14603" width="19.140625" style="284" customWidth="1"/>
    <col min="14604" max="14604" width="17.85546875" style="284" customWidth="1"/>
    <col min="14605" max="14605" width="14.5703125" style="284" customWidth="1"/>
    <col min="14606" max="14606" width="15.7109375" style="284" customWidth="1"/>
    <col min="14607" max="14607" width="16.85546875" style="284" customWidth="1"/>
    <col min="14608" max="14608" width="17.85546875" style="284" customWidth="1"/>
    <col min="14609" max="14609" width="16.5703125" style="284" customWidth="1"/>
    <col min="14610" max="14610" width="17" style="284" customWidth="1"/>
    <col min="14611" max="14611" width="11.140625" style="284" customWidth="1"/>
    <col min="14612" max="14612" width="11" style="284" customWidth="1"/>
    <col min="14613" max="14620" width="0" style="284" hidden="1" customWidth="1"/>
    <col min="14621" max="14848" width="9.140625" style="284"/>
    <col min="14849" max="14849" width="5" style="284" customWidth="1"/>
    <col min="14850" max="14850" width="46.85546875" style="284" customWidth="1"/>
    <col min="14851" max="14851" width="10.7109375" style="284" customWidth="1"/>
    <col min="14852" max="14852" width="11.5703125" style="284" customWidth="1"/>
    <col min="14853" max="14853" width="10.7109375" style="284" customWidth="1"/>
    <col min="14854" max="14854" width="11.7109375" style="284" customWidth="1"/>
    <col min="14855" max="14855" width="13.5703125" style="284" customWidth="1"/>
    <col min="14856" max="14857" width="16.42578125" style="284" customWidth="1"/>
    <col min="14858" max="14858" width="11.140625" style="284" customWidth="1"/>
    <col min="14859" max="14859" width="19.140625" style="284" customWidth="1"/>
    <col min="14860" max="14860" width="17.85546875" style="284" customWidth="1"/>
    <col min="14861" max="14861" width="14.5703125" style="284" customWidth="1"/>
    <col min="14862" max="14862" width="15.7109375" style="284" customWidth="1"/>
    <col min="14863" max="14863" width="16.85546875" style="284" customWidth="1"/>
    <col min="14864" max="14864" width="17.85546875" style="284" customWidth="1"/>
    <col min="14865" max="14865" width="16.5703125" style="284" customWidth="1"/>
    <col min="14866" max="14866" width="17" style="284" customWidth="1"/>
    <col min="14867" max="14867" width="11.140625" style="284" customWidth="1"/>
    <col min="14868" max="14868" width="11" style="284" customWidth="1"/>
    <col min="14869" max="14876" width="0" style="284" hidden="1" customWidth="1"/>
    <col min="14877" max="15104" width="9.140625" style="284"/>
    <col min="15105" max="15105" width="5" style="284" customWidth="1"/>
    <col min="15106" max="15106" width="46.85546875" style="284" customWidth="1"/>
    <col min="15107" max="15107" width="10.7109375" style="284" customWidth="1"/>
    <col min="15108" max="15108" width="11.5703125" style="284" customWidth="1"/>
    <col min="15109" max="15109" width="10.7109375" style="284" customWidth="1"/>
    <col min="15110" max="15110" width="11.7109375" style="284" customWidth="1"/>
    <col min="15111" max="15111" width="13.5703125" style="284" customWidth="1"/>
    <col min="15112" max="15113" width="16.42578125" style="284" customWidth="1"/>
    <col min="15114" max="15114" width="11.140625" style="284" customWidth="1"/>
    <col min="15115" max="15115" width="19.140625" style="284" customWidth="1"/>
    <col min="15116" max="15116" width="17.85546875" style="284" customWidth="1"/>
    <col min="15117" max="15117" width="14.5703125" style="284" customWidth="1"/>
    <col min="15118" max="15118" width="15.7109375" style="284" customWidth="1"/>
    <col min="15119" max="15119" width="16.85546875" style="284" customWidth="1"/>
    <col min="15120" max="15120" width="17.85546875" style="284" customWidth="1"/>
    <col min="15121" max="15121" width="16.5703125" style="284" customWidth="1"/>
    <col min="15122" max="15122" width="17" style="284" customWidth="1"/>
    <col min="15123" max="15123" width="11.140625" style="284" customWidth="1"/>
    <col min="15124" max="15124" width="11" style="284" customWidth="1"/>
    <col min="15125" max="15132" width="0" style="284" hidden="1" customWidth="1"/>
    <col min="15133" max="15360" width="9.140625" style="284"/>
    <col min="15361" max="15361" width="5" style="284" customWidth="1"/>
    <col min="15362" max="15362" width="46.85546875" style="284" customWidth="1"/>
    <col min="15363" max="15363" width="10.7109375" style="284" customWidth="1"/>
    <col min="15364" max="15364" width="11.5703125" style="284" customWidth="1"/>
    <col min="15365" max="15365" width="10.7109375" style="284" customWidth="1"/>
    <col min="15366" max="15366" width="11.7109375" style="284" customWidth="1"/>
    <col min="15367" max="15367" width="13.5703125" style="284" customWidth="1"/>
    <col min="15368" max="15369" width="16.42578125" style="284" customWidth="1"/>
    <col min="15370" max="15370" width="11.140625" style="284" customWidth="1"/>
    <col min="15371" max="15371" width="19.140625" style="284" customWidth="1"/>
    <col min="15372" max="15372" width="17.85546875" style="284" customWidth="1"/>
    <col min="15373" max="15373" width="14.5703125" style="284" customWidth="1"/>
    <col min="15374" max="15374" width="15.7109375" style="284" customWidth="1"/>
    <col min="15375" max="15375" width="16.85546875" style="284" customWidth="1"/>
    <col min="15376" max="15376" width="17.85546875" style="284" customWidth="1"/>
    <col min="15377" max="15377" width="16.5703125" style="284" customWidth="1"/>
    <col min="15378" max="15378" width="17" style="284" customWidth="1"/>
    <col min="15379" max="15379" width="11.140625" style="284" customWidth="1"/>
    <col min="15380" max="15380" width="11" style="284" customWidth="1"/>
    <col min="15381" max="15388" width="0" style="284" hidden="1" customWidth="1"/>
    <col min="15389" max="15616" width="9.140625" style="284"/>
    <col min="15617" max="15617" width="5" style="284" customWidth="1"/>
    <col min="15618" max="15618" width="46.85546875" style="284" customWidth="1"/>
    <col min="15619" max="15619" width="10.7109375" style="284" customWidth="1"/>
    <col min="15620" max="15620" width="11.5703125" style="284" customWidth="1"/>
    <col min="15621" max="15621" width="10.7109375" style="284" customWidth="1"/>
    <col min="15622" max="15622" width="11.7109375" style="284" customWidth="1"/>
    <col min="15623" max="15623" width="13.5703125" style="284" customWidth="1"/>
    <col min="15624" max="15625" width="16.42578125" style="284" customWidth="1"/>
    <col min="15626" max="15626" width="11.140625" style="284" customWidth="1"/>
    <col min="15627" max="15627" width="19.140625" style="284" customWidth="1"/>
    <col min="15628" max="15628" width="17.85546875" style="284" customWidth="1"/>
    <col min="15629" max="15629" width="14.5703125" style="284" customWidth="1"/>
    <col min="15630" max="15630" width="15.7109375" style="284" customWidth="1"/>
    <col min="15631" max="15631" width="16.85546875" style="284" customWidth="1"/>
    <col min="15632" max="15632" width="17.85546875" style="284" customWidth="1"/>
    <col min="15633" max="15633" width="16.5703125" style="284" customWidth="1"/>
    <col min="15634" max="15634" width="17" style="284" customWidth="1"/>
    <col min="15635" max="15635" width="11.140625" style="284" customWidth="1"/>
    <col min="15636" max="15636" width="11" style="284" customWidth="1"/>
    <col min="15637" max="15644" width="0" style="284" hidden="1" customWidth="1"/>
    <col min="15645" max="15872" width="9.140625" style="284"/>
    <col min="15873" max="15873" width="5" style="284" customWidth="1"/>
    <col min="15874" max="15874" width="46.85546875" style="284" customWidth="1"/>
    <col min="15875" max="15875" width="10.7109375" style="284" customWidth="1"/>
    <col min="15876" max="15876" width="11.5703125" style="284" customWidth="1"/>
    <col min="15877" max="15877" width="10.7109375" style="284" customWidth="1"/>
    <col min="15878" max="15878" width="11.7109375" style="284" customWidth="1"/>
    <col min="15879" max="15879" width="13.5703125" style="284" customWidth="1"/>
    <col min="15880" max="15881" width="16.42578125" style="284" customWidth="1"/>
    <col min="15882" max="15882" width="11.140625" style="284" customWidth="1"/>
    <col min="15883" max="15883" width="19.140625" style="284" customWidth="1"/>
    <col min="15884" max="15884" width="17.85546875" style="284" customWidth="1"/>
    <col min="15885" max="15885" width="14.5703125" style="284" customWidth="1"/>
    <col min="15886" max="15886" width="15.7109375" style="284" customWidth="1"/>
    <col min="15887" max="15887" width="16.85546875" style="284" customWidth="1"/>
    <col min="15888" max="15888" width="17.85546875" style="284" customWidth="1"/>
    <col min="15889" max="15889" width="16.5703125" style="284" customWidth="1"/>
    <col min="15890" max="15890" width="17" style="284" customWidth="1"/>
    <col min="15891" max="15891" width="11.140625" style="284" customWidth="1"/>
    <col min="15892" max="15892" width="11" style="284" customWidth="1"/>
    <col min="15893" max="15900" width="0" style="284" hidden="1" customWidth="1"/>
    <col min="15901" max="16128" width="9.140625" style="284"/>
    <col min="16129" max="16129" width="5" style="284" customWidth="1"/>
    <col min="16130" max="16130" width="46.85546875" style="284" customWidth="1"/>
    <col min="16131" max="16131" width="10.7109375" style="284" customWidth="1"/>
    <col min="16132" max="16132" width="11.5703125" style="284" customWidth="1"/>
    <col min="16133" max="16133" width="10.7109375" style="284" customWidth="1"/>
    <col min="16134" max="16134" width="11.7109375" style="284" customWidth="1"/>
    <col min="16135" max="16135" width="13.5703125" style="284" customWidth="1"/>
    <col min="16136" max="16137" width="16.42578125" style="284" customWidth="1"/>
    <col min="16138" max="16138" width="11.140625" style="284" customWidth="1"/>
    <col min="16139" max="16139" width="19.140625" style="284" customWidth="1"/>
    <col min="16140" max="16140" width="17.85546875" style="284" customWidth="1"/>
    <col min="16141" max="16141" width="14.5703125" style="284" customWidth="1"/>
    <col min="16142" max="16142" width="15.7109375" style="284" customWidth="1"/>
    <col min="16143" max="16143" width="16.85546875" style="284" customWidth="1"/>
    <col min="16144" max="16144" width="17.85546875" style="284" customWidth="1"/>
    <col min="16145" max="16145" width="16.5703125" style="284" customWidth="1"/>
    <col min="16146" max="16146" width="17" style="284" customWidth="1"/>
    <col min="16147" max="16147" width="11.140625" style="284" customWidth="1"/>
    <col min="16148" max="16148" width="11" style="284" customWidth="1"/>
    <col min="16149" max="16156" width="0" style="284" hidden="1" customWidth="1"/>
    <col min="16157" max="16384" width="9.140625" style="284"/>
  </cols>
  <sheetData>
    <row r="1" spans="1:28" ht="16.5">
      <c r="A1" s="676" t="s">
        <v>576</v>
      </c>
      <c r="B1" s="676"/>
      <c r="C1" s="677" t="s">
        <v>577</v>
      </c>
      <c r="D1" s="677"/>
      <c r="E1" s="677"/>
      <c r="F1" s="677"/>
      <c r="G1" s="677"/>
      <c r="H1" s="279"/>
      <c r="I1" s="279"/>
      <c r="J1" s="279"/>
      <c r="K1" s="279"/>
      <c r="L1" s="280"/>
      <c r="M1" s="281"/>
      <c r="N1" s="281"/>
      <c r="O1" s="281"/>
      <c r="P1" s="281"/>
      <c r="Q1" s="281"/>
      <c r="R1" s="281"/>
      <c r="S1" s="281"/>
    </row>
    <row r="2" spans="1:28">
      <c r="A2" s="676" t="s">
        <v>578</v>
      </c>
      <c r="B2" s="676"/>
      <c r="C2" s="678" t="s">
        <v>579</v>
      </c>
      <c r="D2" s="678"/>
      <c r="E2" s="678"/>
      <c r="F2" s="678"/>
      <c r="G2" s="678"/>
      <c r="H2" s="285"/>
      <c r="I2" s="285"/>
      <c r="J2" s="285"/>
      <c r="K2" s="285"/>
      <c r="L2" s="286"/>
      <c r="M2" s="287"/>
      <c r="N2" s="287"/>
      <c r="O2" s="287"/>
      <c r="P2" s="287"/>
      <c r="Q2" s="287"/>
      <c r="R2" s="287"/>
      <c r="S2" s="287"/>
    </row>
    <row r="3" spans="1:28" ht="9.75" customHeight="1">
      <c r="A3" s="581"/>
      <c r="B3" s="581"/>
      <c r="C3" s="679"/>
      <c r="D3" s="679"/>
      <c r="E3" s="679"/>
      <c r="F3" s="679"/>
      <c r="G3" s="679"/>
      <c r="H3" s="288"/>
      <c r="I3" s="288"/>
      <c r="J3" s="288"/>
      <c r="K3" s="288"/>
      <c r="L3" s="289"/>
      <c r="M3" s="290"/>
      <c r="N3" s="290"/>
      <c r="O3" s="290"/>
      <c r="P3" s="290"/>
      <c r="Q3" s="290"/>
      <c r="R3" s="290"/>
      <c r="S3" s="290"/>
    </row>
    <row r="4" spans="1:28">
      <c r="A4" s="581"/>
      <c r="B4" s="581"/>
      <c r="C4" s="675"/>
      <c r="D4" s="675"/>
      <c r="E4" s="675"/>
      <c r="F4" s="675"/>
      <c r="G4" s="675"/>
      <c r="H4" s="291"/>
      <c r="I4" s="291"/>
      <c r="J4" s="291"/>
      <c r="K4" s="291"/>
      <c r="L4" s="292"/>
      <c r="M4" s="293"/>
      <c r="N4" s="293"/>
      <c r="O4" s="293"/>
      <c r="P4" s="293"/>
      <c r="Q4" s="293"/>
      <c r="R4" s="293"/>
      <c r="S4" s="293"/>
    </row>
    <row r="5" spans="1:28" ht="24" customHeight="1">
      <c r="A5" s="678" t="s">
        <v>769</v>
      </c>
      <c r="B5" s="678"/>
      <c r="C5" s="678"/>
      <c r="D5" s="678"/>
      <c r="E5" s="678"/>
      <c r="F5" s="678"/>
      <c r="G5" s="678"/>
      <c r="H5" s="294"/>
      <c r="I5" s="294"/>
      <c r="J5" s="294"/>
      <c r="K5" s="294"/>
      <c r="L5" s="295"/>
      <c r="M5" s="296"/>
      <c r="N5" s="296"/>
      <c r="O5" s="296"/>
      <c r="P5" s="296"/>
      <c r="Q5" s="296"/>
      <c r="R5" s="296"/>
      <c r="S5" s="296"/>
    </row>
    <row r="6" spans="1:28" ht="18.75" hidden="1" customHeight="1">
      <c r="A6" s="682" t="s">
        <v>580</v>
      </c>
      <c r="B6" s="682"/>
      <c r="C6" s="682"/>
      <c r="D6" s="682"/>
      <c r="E6" s="682"/>
      <c r="F6" s="682"/>
      <c r="G6" s="682"/>
      <c r="H6" s="297"/>
      <c r="I6" s="297"/>
      <c r="J6" s="297"/>
      <c r="K6" s="297"/>
      <c r="L6" s="298"/>
      <c r="M6" s="299"/>
      <c r="N6" s="299"/>
      <c r="O6" s="299"/>
      <c r="P6" s="299"/>
      <c r="Q6" s="299"/>
      <c r="R6" s="299"/>
      <c r="S6" s="299"/>
    </row>
    <row r="7" spans="1:28" ht="37.5" customHeight="1">
      <c r="A7" s="683" t="s">
        <v>581</v>
      </c>
      <c r="B7" s="683"/>
      <c r="C7" s="683"/>
      <c r="D7" s="683"/>
      <c r="E7" s="683"/>
      <c r="F7" s="683"/>
      <c r="G7" s="683"/>
      <c r="H7" s="300"/>
      <c r="I7" s="300"/>
      <c r="J7" s="300"/>
      <c r="K7" s="300"/>
      <c r="L7" s="301"/>
      <c r="M7" s="302"/>
      <c r="N7" s="302"/>
      <c r="O7" s="302"/>
      <c r="P7" s="302"/>
      <c r="Q7" s="302"/>
      <c r="R7" s="302"/>
      <c r="S7" s="302"/>
    </row>
    <row r="8" spans="1:28" ht="78.75" customHeight="1">
      <c r="A8" s="683" t="s">
        <v>582</v>
      </c>
      <c r="B8" s="683"/>
      <c r="C8" s="683"/>
      <c r="D8" s="683"/>
      <c r="E8" s="683"/>
      <c r="F8" s="683"/>
      <c r="G8" s="683"/>
      <c r="H8" s="300"/>
      <c r="I8" s="300"/>
      <c r="J8" s="300"/>
      <c r="K8" s="300"/>
      <c r="L8" s="301"/>
      <c r="M8" s="302"/>
      <c r="N8" s="302"/>
      <c r="O8" s="302"/>
      <c r="P8" s="302"/>
      <c r="Q8" s="302"/>
      <c r="R8" s="302"/>
      <c r="S8" s="302"/>
    </row>
    <row r="9" spans="1:28" ht="34.5" customHeight="1">
      <c r="A9" s="683" t="s">
        <v>773</v>
      </c>
      <c r="B9" s="683"/>
      <c r="C9" s="683"/>
      <c r="D9" s="683"/>
      <c r="E9" s="683"/>
      <c r="F9" s="683"/>
      <c r="G9" s="683"/>
      <c r="H9" s="300"/>
      <c r="I9" s="300"/>
      <c r="J9" s="300"/>
      <c r="K9" s="300"/>
      <c r="L9" s="301"/>
      <c r="M9" s="302"/>
      <c r="N9" s="302"/>
      <c r="O9" s="302"/>
      <c r="P9" s="302"/>
      <c r="Q9" s="302"/>
      <c r="R9" s="302"/>
      <c r="S9" s="302"/>
    </row>
    <row r="10" spans="1:28" ht="21.75" customHeight="1">
      <c r="A10" s="580"/>
      <c r="B10" s="580"/>
      <c r="F10" s="684" t="s">
        <v>583</v>
      </c>
      <c r="G10" s="684"/>
      <c r="H10" s="305"/>
      <c r="I10" s="305"/>
      <c r="J10" s="305"/>
      <c r="K10" s="305"/>
      <c r="L10" s="306"/>
      <c r="M10" s="307"/>
      <c r="N10" s="307"/>
      <c r="O10" s="307"/>
      <c r="P10" s="307"/>
      <c r="Q10" s="307"/>
      <c r="R10" s="307"/>
      <c r="S10" s="307"/>
    </row>
    <row r="11" spans="1:28" s="316" customFormat="1" ht="135.75" customHeight="1">
      <c r="A11" s="308" t="s">
        <v>584</v>
      </c>
      <c r="B11" s="308" t="s">
        <v>115</v>
      </c>
      <c r="C11" s="309" t="s">
        <v>656</v>
      </c>
      <c r="D11" s="309" t="s">
        <v>770</v>
      </c>
      <c r="E11" s="310" t="s">
        <v>775</v>
      </c>
      <c r="F11" s="309" t="s">
        <v>771</v>
      </c>
      <c r="G11" s="309" t="s">
        <v>772</v>
      </c>
      <c r="H11" s="585"/>
      <c r="I11" s="585"/>
      <c r="J11" s="311"/>
      <c r="K11" s="311"/>
      <c r="L11" s="312"/>
      <c r="M11" s="296"/>
      <c r="N11" s="296"/>
      <c r="O11" s="296"/>
      <c r="P11" s="296"/>
      <c r="Q11" s="296"/>
      <c r="R11" s="296"/>
      <c r="S11" s="296"/>
      <c r="T11" s="586"/>
      <c r="U11" s="313" t="s">
        <v>585</v>
      </c>
      <c r="V11" s="314" t="s">
        <v>586</v>
      </c>
      <c r="W11" s="315" t="s">
        <v>587</v>
      </c>
      <c r="X11" s="315" t="s">
        <v>588</v>
      </c>
      <c r="Y11" s="315" t="s">
        <v>589</v>
      </c>
      <c r="Z11" s="315" t="s">
        <v>590</v>
      </c>
      <c r="AA11" s="315" t="s">
        <v>591</v>
      </c>
      <c r="AB11" s="315" t="s">
        <v>592</v>
      </c>
    </row>
    <row r="12" spans="1:28" ht="15.75" customHeight="1">
      <c r="A12" s="317">
        <v>1</v>
      </c>
      <c r="B12" s="317">
        <v>2</v>
      </c>
      <c r="C12" s="318">
        <v>3</v>
      </c>
      <c r="D12" s="319" t="s">
        <v>593</v>
      </c>
      <c r="E12" s="320"/>
      <c r="F12" s="321" t="s">
        <v>594</v>
      </c>
      <c r="G12" s="319" t="s">
        <v>595</v>
      </c>
      <c r="H12" s="322"/>
      <c r="I12" s="322"/>
      <c r="J12" s="322"/>
      <c r="K12" s="322"/>
      <c r="L12" s="323"/>
      <c r="M12" s="324"/>
      <c r="N12" s="324"/>
      <c r="O12" s="324"/>
      <c r="P12" s="324"/>
      <c r="Q12" s="324"/>
      <c r="R12" s="324"/>
      <c r="S12" s="324"/>
      <c r="U12" s="325"/>
      <c r="V12" s="326"/>
      <c r="W12" s="327"/>
      <c r="X12" s="327"/>
      <c r="Y12" s="327"/>
      <c r="Z12" s="327"/>
      <c r="AA12" s="327"/>
      <c r="AB12" s="327"/>
    </row>
    <row r="13" spans="1:28" ht="20.100000000000001" customHeight="1">
      <c r="A13" s="308" t="s">
        <v>89</v>
      </c>
      <c r="B13" s="328" t="s">
        <v>596</v>
      </c>
      <c r="C13" s="329"/>
      <c r="D13" s="330"/>
      <c r="E13" s="331"/>
      <c r="F13" s="330"/>
      <c r="G13" s="659"/>
      <c r="H13" s="332"/>
      <c r="I13" s="332"/>
      <c r="J13" s="332"/>
      <c r="K13" s="332"/>
      <c r="L13" s="333"/>
      <c r="M13" s="334"/>
      <c r="N13" s="334"/>
      <c r="O13" s="334"/>
      <c r="P13" s="334"/>
      <c r="Q13" s="334"/>
      <c r="R13" s="334"/>
      <c r="S13" s="334"/>
      <c r="U13" s="325"/>
      <c r="V13" s="326"/>
      <c r="W13" s="327"/>
      <c r="X13" s="327"/>
      <c r="Y13" s="327"/>
      <c r="Z13" s="327"/>
      <c r="AA13" s="327"/>
      <c r="AB13" s="327"/>
    </row>
    <row r="14" spans="1:28" ht="20.100000000000001" customHeight="1">
      <c r="A14" s="308" t="s">
        <v>3</v>
      </c>
      <c r="B14" s="328" t="s">
        <v>597</v>
      </c>
      <c r="C14" s="335">
        <f>C15+C17</f>
        <v>6582</v>
      </c>
      <c r="D14" s="335">
        <f>D15+D17</f>
        <v>1494.3490709999999</v>
      </c>
      <c r="E14" s="336">
        <f>E15+E17</f>
        <v>1467.7991</v>
      </c>
      <c r="F14" s="335">
        <f>D14/C14*100</f>
        <v>22.703571422060161</v>
      </c>
      <c r="G14" s="660">
        <f>D14/E14*100</f>
        <v>101.80882867416936</v>
      </c>
      <c r="H14" s="337"/>
      <c r="I14" s="337"/>
      <c r="J14" s="337"/>
      <c r="K14" s="337"/>
      <c r="L14" s="338"/>
      <c r="M14" s="339"/>
      <c r="N14" s="339"/>
      <c r="O14" s="339"/>
      <c r="P14" s="339"/>
      <c r="Q14" s="339"/>
      <c r="R14" s="339"/>
      <c r="S14" s="339"/>
      <c r="U14" s="340">
        <f>U15+U17</f>
        <v>1298.05</v>
      </c>
      <c r="V14" s="326"/>
      <c r="W14" s="340">
        <f t="shared" ref="W14:AB14" si="0">W15+W17</f>
        <v>0</v>
      </c>
      <c r="X14" s="340">
        <f t="shared" si="0"/>
        <v>0</v>
      </c>
      <c r="Y14" s="340">
        <f t="shared" si="0"/>
        <v>0</v>
      </c>
      <c r="Z14" s="340">
        <f t="shared" si="0"/>
        <v>0</v>
      </c>
      <c r="AA14" s="340">
        <f t="shared" si="0"/>
        <v>21</v>
      </c>
      <c r="AB14" s="340">
        <f t="shared" si="0"/>
        <v>0</v>
      </c>
    </row>
    <row r="15" spans="1:28" s="343" customFormat="1" ht="20.100000000000001" customHeight="1">
      <c r="A15" s="308">
        <v>1</v>
      </c>
      <c r="B15" s="328" t="s">
        <v>598</v>
      </c>
      <c r="C15" s="335">
        <f>C16</f>
        <v>5</v>
      </c>
      <c r="D15" s="335">
        <f>D16</f>
        <v>3.6749999999999998</v>
      </c>
      <c r="E15" s="341">
        <f>E16</f>
        <v>0</v>
      </c>
      <c r="F15" s="335">
        <f t="shared" ref="F15:F20" si="1">D15/C15*100</f>
        <v>73.5</v>
      </c>
      <c r="G15" s="662" t="e">
        <f t="shared" ref="G15:G18" si="2">D15/E15*100</f>
        <v>#DIV/0!</v>
      </c>
      <c r="H15" s="337"/>
      <c r="I15" s="337"/>
      <c r="J15" s="337"/>
      <c r="K15" s="337"/>
      <c r="L15" s="338"/>
      <c r="M15" s="339"/>
      <c r="N15" s="339"/>
      <c r="O15" s="339"/>
      <c r="P15" s="339"/>
      <c r="Q15" s="339"/>
      <c r="R15" s="339"/>
      <c r="S15" s="339"/>
      <c r="T15" s="587"/>
      <c r="U15" s="340">
        <f>U16</f>
        <v>1.05</v>
      </c>
      <c r="V15" s="342"/>
      <c r="W15" s="340">
        <f t="shared" ref="W15:AB15" si="3">W16</f>
        <v>0</v>
      </c>
      <c r="X15" s="340">
        <f t="shared" si="3"/>
        <v>0</v>
      </c>
      <c r="Y15" s="340">
        <f t="shared" si="3"/>
        <v>0</v>
      </c>
      <c r="Z15" s="340">
        <f t="shared" si="3"/>
        <v>0</v>
      </c>
      <c r="AA15" s="340">
        <f t="shared" si="3"/>
        <v>0</v>
      </c>
      <c r="AB15" s="340">
        <f t="shared" si="3"/>
        <v>0</v>
      </c>
    </row>
    <row r="16" spans="1:28" s="343" customFormat="1" ht="56.25" customHeight="1">
      <c r="A16" s="308"/>
      <c r="B16" s="409" t="s">
        <v>23</v>
      </c>
      <c r="C16" s="345">
        <f>SNN!I9/1000000</f>
        <v>5</v>
      </c>
      <c r="D16" s="345">
        <f>SNN!J9/1000000</f>
        <v>3.6749999999999998</v>
      </c>
      <c r="E16" s="345">
        <f>SNN!K9/1000000</f>
        <v>0</v>
      </c>
      <c r="F16" s="345">
        <f t="shared" si="1"/>
        <v>73.5</v>
      </c>
      <c r="G16" s="663" t="e">
        <f t="shared" si="2"/>
        <v>#DIV/0!</v>
      </c>
      <c r="H16" s="337"/>
      <c r="I16" s="337"/>
      <c r="J16" s="337"/>
      <c r="K16" s="337"/>
      <c r="L16" s="338"/>
      <c r="M16" s="339"/>
      <c r="N16" s="339"/>
      <c r="O16" s="339"/>
      <c r="P16" s="339"/>
      <c r="Q16" s="339"/>
      <c r="R16" s="339"/>
      <c r="S16" s="339"/>
      <c r="T16" s="587"/>
      <c r="U16" s="325">
        <v>1.05</v>
      </c>
      <c r="V16" s="342"/>
      <c r="W16" s="346"/>
      <c r="X16" s="346"/>
      <c r="Y16" s="346"/>
      <c r="Z16" s="346"/>
      <c r="AA16" s="346"/>
      <c r="AB16" s="346"/>
    </row>
    <row r="17" spans="1:28" s="343" customFormat="1" ht="20.100000000000001" customHeight="1">
      <c r="A17" s="308">
        <v>2</v>
      </c>
      <c r="B17" s="328" t="s">
        <v>599</v>
      </c>
      <c r="C17" s="335">
        <f>SUM(C18:C20)</f>
        <v>6577</v>
      </c>
      <c r="D17" s="335">
        <f>SUM(D18:D20)</f>
        <v>1490.6740709999999</v>
      </c>
      <c r="E17" s="336">
        <f>SUM(E18:E20)</f>
        <v>1467.7991</v>
      </c>
      <c r="F17" s="335">
        <f t="shared" si="1"/>
        <v>22.664954705792915</v>
      </c>
      <c r="G17" s="660">
        <f t="shared" si="2"/>
        <v>101.55845381019786</v>
      </c>
      <c r="H17" s="311"/>
      <c r="I17" s="311"/>
      <c r="J17" s="311"/>
      <c r="K17" s="311"/>
      <c r="L17" s="312"/>
      <c r="M17" s="296"/>
      <c r="N17" s="296"/>
      <c r="O17" s="296"/>
      <c r="P17" s="296"/>
      <c r="Q17" s="296"/>
      <c r="R17" s="296"/>
      <c r="S17" s="296"/>
      <c r="T17" s="587"/>
      <c r="U17" s="340">
        <f>SUM(U18:U20)</f>
        <v>1297</v>
      </c>
      <c r="V17" s="342"/>
      <c r="W17" s="340">
        <f t="shared" ref="W17:AB17" si="4">SUM(W18:W20)</f>
        <v>0</v>
      </c>
      <c r="X17" s="340">
        <f t="shared" si="4"/>
        <v>0</v>
      </c>
      <c r="Y17" s="340">
        <f t="shared" si="4"/>
        <v>0</v>
      </c>
      <c r="Z17" s="340">
        <f t="shared" si="4"/>
        <v>0</v>
      </c>
      <c r="AA17" s="340">
        <f t="shared" si="4"/>
        <v>21</v>
      </c>
      <c r="AB17" s="340">
        <f t="shared" si="4"/>
        <v>0</v>
      </c>
    </row>
    <row r="18" spans="1:28">
      <c r="A18" s="347"/>
      <c r="B18" s="409" t="s">
        <v>21</v>
      </c>
      <c r="C18" s="345">
        <f>SNN!I11/1000000</f>
        <v>40</v>
      </c>
      <c r="D18" s="345">
        <f>SNN!J11/1000000</f>
        <v>37.068621</v>
      </c>
      <c r="E18" s="345">
        <f>SNN!K11/1000000</f>
        <v>77.263800000000003</v>
      </c>
      <c r="F18" s="345">
        <f t="shared" si="1"/>
        <v>92.671552500000004</v>
      </c>
      <c r="G18" s="661">
        <f t="shared" si="2"/>
        <v>47.976699308084768</v>
      </c>
      <c r="H18" s="348"/>
      <c r="I18" s="348"/>
      <c r="J18" s="348"/>
      <c r="K18" s="348"/>
      <c r="L18" s="349"/>
      <c r="M18" s="299"/>
      <c r="N18" s="299"/>
      <c r="O18" s="299"/>
      <c r="P18" s="299"/>
      <c r="Q18" s="299"/>
      <c r="R18" s="299"/>
      <c r="S18" s="299"/>
      <c r="U18" s="325"/>
      <c r="V18" s="326"/>
      <c r="W18" s="327"/>
      <c r="X18" s="327"/>
      <c r="Y18" s="327"/>
      <c r="Z18" s="327"/>
      <c r="AA18" s="327">
        <v>21</v>
      </c>
      <c r="AB18" s="327"/>
    </row>
    <row r="19" spans="1:28" ht="37.5">
      <c r="A19" s="347"/>
      <c r="B19" s="409" t="s">
        <v>22</v>
      </c>
      <c r="C19" s="345">
        <f>SNN!I12/1000000</f>
        <v>6292</v>
      </c>
      <c r="D19" s="345">
        <f>SNN!J12/1000000</f>
        <v>1361.3543</v>
      </c>
      <c r="E19" s="345">
        <f>SNN!K12/1000000</f>
        <v>1346.6352999999999</v>
      </c>
      <c r="F19" s="345">
        <f t="shared" ref="F19" si="5">D19/C19*100</f>
        <v>21.636273045136679</v>
      </c>
      <c r="G19" s="661">
        <f t="shared" ref="G19" si="6">D19/E19*100</f>
        <v>101.09302050822522</v>
      </c>
      <c r="H19" s="348"/>
      <c r="I19" s="348"/>
      <c r="J19" s="348"/>
      <c r="K19" s="348"/>
      <c r="L19" s="349"/>
      <c r="M19" s="299"/>
      <c r="N19" s="299"/>
      <c r="O19" s="299"/>
      <c r="P19" s="299"/>
      <c r="Q19" s="299"/>
      <c r="R19" s="299"/>
      <c r="S19" s="299"/>
      <c r="U19" s="325"/>
      <c r="V19" s="326"/>
      <c r="W19" s="327"/>
      <c r="X19" s="327"/>
      <c r="Y19" s="327"/>
      <c r="Z19" s="327"/>
      <c r="AA19" s="327"/>
      <c r="AB19" s="327"/>
    </row>
    <row r="20" spans="1:28" ht="56.25">
      <c r="A20" s="347"/>
      <c r="B20" s="409" t="s">
        <v>345</v>
      </c>
      <c r="C20" s="345">
        <f>SNN!I13/1000000</f>
        <v>245</v>
      </c>
      <c r="D20" s="345">
        <f>SNN!J13/1000000</f>
        <v>92.251149999999996</v>
      </c>
      <c r="E20" s="345">
        <f>SNN!K13/1000000</f>
        <v>43.9</v>
      </c>
      <c r="F20" s="345">
        <f t="shared" si="1"/>
        <v>37.653530612244893</v>
      </c>
      <c r="G20" s="661">
        <f>D20/E20*100</f>
        <v>210.13929384965832</v>
      </c>
      <c r="H20" s="351"/>
      <c r="I20" s="351"/>
      <c r="J20" s="351"/>
      <c r="K20" s="351"/>
      <c r="L20" s="352"/>
      <c r="M20" s="353"/>
      <c r="N20" s="353"/>
      <c r="O20" s="353"/>
      <c r="P20" s="353"/>
      <c r="Q20" s="353"/>
      <c r="R20" s="353"/>
      <c r="S20" s="353"/>
      <c r="U20" s="325">
        <v>1297</v>
      </c>
      <c r="V20" s="326"/>
      <c r="W20" s="327"/>
      <c r="X20" s="327"/>
      <c r="Y20" s="327"/>
      <c r="Z20" s="327"/>
      <c r="AA20" s="327"/>
      <c r="AB20" s="327"/>
    </row>
    <row r="21" spans="1:28" ht="20.100000000000001" customHeight="1">
      <c r="A21" s="308" t="s">
        <v>5</v>
      </c>
      <c r="B21" s="328" t="s">
        <v>602</v>
      </c>
      <c r="C21" s="354"/>
      <c r="D21" s="355"/>
      <c r="E21" s="341"/>
      <c r="F21" s="335"/>
      <c r="G21" s="660"/>
      <c r="H21" s="311"/>
      <c r="I21" s="311"/>
      <c r="J21" s="311"/>
      <c r="K21" s="311"/>
      <c r="L21" s="312"/>
      <c r="M21" s="296"/>
      <c r="N21" s="296"/>
      <c r="O21" s="296"/>
      <c r="P21" s="296"/>
      <c r="Q21" s="296"/>
      <c r="R21" s="296"/>
      <c r="S21" s="296"/>
      <c r="U21" s="325"/>
      <c r="V21" s="326"/>
      <c r="W21" s="327"/>
      <c r="X21" s="327"/>
      <c r="Y21" s="327"/>
      <c r="Z21" s="327"/>
      <c r="AA21" s="327"/>
      <c r="AB21" s="327"/>
    </row>
    <row r="22" spans="1:28" ht="20.100000000000001" customHeight="1">
      <c r="A22" s="356">
        <v>1</v>
      </c>
      <c r="B22" s="357" t="s">
        <v>603</v>
      </c>
      <c r="C22" s="358"/>
      <c r="D22" s="359"/>
      <c r="E22" s="360"/>
      <c r="F22" s="335"/>
      <c r="G22" s="660"/>
      <c r="H22" s="311"/>
      <c r="I22" s="311"/>
      <c r="J22" s="311"/>
      <c r="K22" s="311"/>
      <c r="L22" s="312"/>
      <c r="M22" s="296"/>
      <c r="N22" s="296"/>
      <c r="O22" s="296"/>
      <c r="P22" s="296"/>
      <c r="Q22" s="296"/>
      <c r="R22" s="296"/>
      <c r="S22" s="296"/>
      <c r="U22" s="325"/>
      <c r="V22" s="326"/>
      <c r="W22" s="327"/>
      <c r="X22" s="327"/>
      <c r="Y22" s="327"/>
      <c r="Z22" s="327"/>
      <c r="AA22" s="327"/>
      <c r="AB22" s="327"/>
    </row>
    <row r="23" spans="1:28" ht="20.100000000000001" customHeight="1">
      <c r="A23" s="347" t="s">
        <v>14</v>
      </c>
      <c r="B23" s="344" t="s">
        <v>604</v>
      </c>
      <c r="C23" s="361"/>
      <c r="D23" s="362"/>
      <c r="E23" s="363"/>
      <c r="F23" s="345"/>
      <c r="G23" s="661"/>
      <c r="H23" s="348"/>
      <c r="I23" s="348"/>
      <c r="J23" s="348"/>
      <c r="K23" s="348"/>
      <c r="L23" s="349"/>
      <c r="M23" s="299"/>
      <c r="N23" s="299"/>
      <c r="O23" s="299"/>
      <c r="P23" s="299"/>
      <c r="Q23" s="299"/>
      <c r="R23" s="299"/>
      <c r="S23" s="299"/>
      <c r="U23" s="325"/>
      <c r="V23" s="326"/>
      <c r="W23" s="327"/>
      <c r="X23" s="327"/>
      <c r="Y23" s="327"/>
      <c r="Z23" s="327"/>
      <c r="AA23" s="327"/>
      <c r="AB23" s="327"/>
    </row>
    <row r="24" spans="1:28" ht="20.100000000000001" customHeight="1">
      <c r="A24" s="347" t="s">
        <v>15</v>
      </c>
      <c r="B24" s="344" t="s">
        <v>605</v>
      </c>
      <c r="C24" s="361"/>
      <c r="D24" s="362"/>
      <c r="E24" s="363"/>
      <c r="F24" s="335"/>
      <c r="G24" s="660"/>
      <c r="H24" s="311"/>
      <c r="I24" s="311"/>
      <c r="J24" s="311"/>
      <c r="K24" s="311"/>
      <c r="L24" s="312"/>
      <c r="M24" s="296"/>
      <c r="N24" s="296"/>
      <c r="O24" s="296"/>
      <c r="P24" s="296"/>
      <c r="Q24" s="296"/>
      <c r="R24" s="296"/>
      <c r="S24" s="296"/>
      <c r="U24" s="325"/>
      <c r="V24" s="326"/>
      <c r="W24" s="327"/>
      <c r="X24" s="327"/>
      <c r="Y24" s="327"/>
      <c r="Z24" s="327"/>
      <c r="AA24" s="327"/>
      <c r="AB24" s="327"/>
    </row>
    <row r="25" spans="1:28" ht="20.100000000000001" customHeight="1">
      <c r="A25" s="356">
        <v>2</v>
      </c>
      <c r="B25" s="357" t="s">
        <v>606</v>
      </c>
      <c r="C25" s="358"/>
      <c r="D25" s="359"/>
      <c r="E25" s="360"/>
      <c r="F25" s="335"/>
      <c r="G25" s="660"/>
      <c r="H25" s="311"/>
      <c r="I25" s="311"/>
      <c r="J25" s="311"/>
      <c r="K25" s="311"/>
      <c r="L25" s="312"/>
      <c r="M25" s="296"/>
      <c r="N25" s="296"/>
      <c r="O25" s="296"/>
      <c r="P25" s="296"/>
      <c r="Q25" s="296"/>
      <c r="R25" s="296"/>
      <c r="S25" s="296"/>
      <c r="U25" s="325"/>
      <c r="V25" s="326"/>
      <c r="W25" s="327"/>
      <c r="X25" s="327"/>
      <c r="Y25" s="327"/>
      <c r="Z25" s="327"/>
      <c r="AA25" s="327"/>
      <c r="AB25" s="327"/>
    </row>
    <row r="26" spans="1:28" ht="20.100000000000001" customHeight="1">
      <c r="A26" s="347" t="s">
        <v>14</v>
      </c>
      <c r="B26" s="344" t="s">
        <v>607</v>
      </c>
      <c r="C26" s="345"/>
      <c r="D26" s="345"/>
      <c r="E26" s="350"/>
      <c r="F26" s="335"/>
      <c r="G26" s="660"/>
      <c r="H26" s="311"/>
      <c r="I26" s="311"/>
      <c r="J26" s="311"/>
      <c r="K26" s="311"/>
      <c r="L26" s="312"/>
      <c r="M26" s="296"/>
      <c r="N26" s="296"/>
      <c r="O26" s="296"/>
      <c r="P26" s="296"/>
      <c r="Q26" s="296"/>
      <c r="R26" s="296"/>
      <c r="S26" s="296"/>
      <c r="U26" s="325"/>
      <c r="V26" s="326"/>
      <c r="W26" s="327"/>
      <c r="X26" s="327"/>
      <c r="Y26" s="327"/>
      <c r="Z26" s="327"/>
      <c r="AA26" s="327"/>
      <c r="AB26" s="327"/>
    </row>
    <row r="27" spans="1:28" ht="20.100000000000001" customHeight="1">
      <c r="A27" s="347" t="s">
        <v>15</v>
      </c>
      <c r="B27" s="344" t="s">
        <v>608</v>
      </c>
      <c r="C27" s="345"/>
      <c r="D27" s="345"/>
      <c r="E27" s="350"/>
      <c r="F27" s="345"/>
      <c r="G27" s="661"/>
      <c r="H27" s="348"/>
      <c r="I27" s="348"/>
      <c r="J27" s="348"/>
      <c r="K27" s="348"/>
      <c r="L27" s="349"/>
      <c r="M27" s="299"/>
      <c r="N27" s="299"/>
      <c r="O27" s="299"/>
      <c r="P27" s="299"/>
      <c r="Q27" s="299"/>
      <c r="R27" s="299"/>
      <c r="S27" s="299"/>
      <c r="U27" s="325"/>
      <c r="V27" s="326"/>
      <c r="W27" s="327"/>
      <c r="X27" s="327"/>
      <c r="Y27" s="327"/>
      <c r="Z27" s="327"/>
      <c r="AA27" s="327"/>
      <c r="AB27" s="327"/>
    </row>
    <row r="28" spans="1:28" ht="20.100000000000001" customHeight="1">
      <c r="A28" s="308" t="s">
        <v>90</v>
      </c>
      <c r="B28" s="328" t="s">
        <v>609</v>
      </c>
      <c r="C28" s="335">
        <f>C29+C31</f>
        <v>6582</v>
      </c>
      <c r="D28" s="335">
        <f>D29+D31</f>
        <v>1494.3490709999999</v>
      </c>
      <c r="E28" s="336">
        <f>E29+E31</f>
        <v>1467.7991</v>
      </c>
      <c r="F28" s="335">
        <f t="shared" ref="F28:F40" si="7">D28/C28*100</f>
        <v>22.703571422060161</v>
      </c>
      <c r="G28" s="660">
        <f>D28/E28*100</f>
        <v>101.80882867416936</v>
      </c>
      <c r="H28" s="337"/>
      <c r="I28" s="337"/>
      <c r="J28" s="337"/>
      <c r="K28" s="337"/>
      <c r="L28" s="338"/>
      <c r="M28" s="339"/>
      <c r="N28" s="339"/>
      <c r="O28" s="339"/>
      <c r="P28" s="339"/>
      <c r="Q28" s="339"/>
      <c r="R28" s="339"/>
      <c r="S28" s="339"/>
      <c r="U28" s="340">
        <f>U29+U31</f>
        <v>1298.05</v>
      </c>
      <c r="V28" s="326"/>
      <c r="W28" s="340">
        <f t="shared" ref="W28:AB28" si="8">W29+W31</f>
        <v>0</v>
      </c>
      <c r="X28" s="340">
        <f t="shared" si="8"/>
        <v>0</v>
      </c>
      <c r="Y28" s="340">
        <f t="shared" si="8"/>
        <v>0</v>
      </c>
      <c r="Z28" s="340">
        <f t="shared" si="8"/>
        <v>0</v>
      </c>
      <c r="AA28" s="340">
        <f t="shared" si="8"/>
        <v>21</v>
      </c>
      <c r="AB28" s="340">
        <f t="shared" si="8"/>
        <v>0</v>
      </c>
    </row>
    <row r="29" spans="1:28" s="343" customFormat="1" ht="20.100000000000001" customHeight="1">
      <c r="A29" s="308">
        <v>1</v>
      </c>
      <c r="B29" s="328" t="s">
        <v>598</v>
      </c>
      <c r="C29" s="335">
        <f>+C30</f>
        <v>5</v>
      </c>
      <c r="D29" s="335">
        <f t="shared" ref="D29:E29" si="9">+D30</f>
        <v>3.6749999999999998</v>
      </c>
      <c r="E29" s="335">
        <f t="shared" si="9"/>
        <v>0</v>
      </c>
      <c r="F29" s="335">
        <f t="shared" si="7"/>
        <v>73.5</v>
      </c>
      <c r="G29" s="662" t="e">
        <f t="shared" ref="G29:G32" si="10">D29/E29*100</f>
        <v>#DIV/0!</v>
      </c>
      <c r="H29" s="337"/>
      <c r="I29" s="337"/>
      <c r="J29" s="337"/>
      <c r="K29" s="337"/>
      <c r="L29" s="338"/>
      <c r="M29" s="339"/>
      <c r="N29" s="339"/>
      <c r="O29" s="339"/>
      <c r="P29" s="339"/>
      <c r="Q29" s="339"/>
      <c r="R29" s="339"/>
      <c r="S29" s="339"/>
      <c r="T29" s="587"/>
      <c r="U29" s="364">
        <v>1.05</v>
      </c>
      <c r="V29" s="342"/>
      <c r="W29" s="346"/>
      <c r="X29" s="346"/>
      <c r="Y29" s="346"/>
      <c r="Z29" s="346"/>
      <c r="AA29" s="346"/>
      <c r="AB29" s="346"/>
    </row>
    <row r="30" spans="1:28" ht="59.25" customHeight="1">
      <c r="A30" s="347"/>
      <c r="B30" s="409" t="s">
        <v>23</v>
      </c>
      <c r="C30" s="345">
        <f>C16</f>
        <v>5</v>
      </c>
      <c r="D30" s="345">
        <f t="shared" ref="D30:E30" si="11">D16</f>
        <v>3.6749999999999998</v>
      </c>
      <c r="E30" s="345">
        <f t="shared" si="11"/>
        <v>0</v>
      </c>
      <c r="F30" s="345">
        <f t="shared" si="7"/>
        <v>73.5</v>
      </c>
      <c r="G30" s="663" t="e">
        <f>D30/E30*100</f>
        <v>#DIV/0!</v>
      </c>
      <c r="H30" s="351"/>
      <c r="I30" s="351"/>
      <c r="J30" s="351"/>
      <c r="K30" s="351"/>
      <c r="L30" s="352"/>
      <c r="M30" s="353"/>
      <c r="N30" s="353"/>
      <c r="O30" s="353"/>
      <c r="P30" s="353"/>
      <c r="Q30" s="353"/>
      <c r="R30" s="353"/>
      <c r="S30" s="353"/>
      <c r="U30" s="325"/>
      <c r="V30" s="326"/>
      <c r="W30" s="327"/>
      <c r="X30" s="327"/>
      <c r="Y30" s="327"/>
      <c r="Z30" s="327"/>
      <c r="AA30" s="327"/>
      <c r="AB30" s="327"/>
    </row>
    <row r="31" spans="1:28" s="343" customFormat="1" ht="15.75">
      <c r="A31" s="308">
        <v>2</v>
      </c>
      <c r="B31" s="328" t="s">
        <v>599</v>
      </c>
      <c r="C31" s="335">
        <f>SUM(C32:C34)</f>
        <v>6577</v>
      </c>
      <c r="D31" s="335">
        <f>SUM(D32:D34)</f>
        <v>1490.6740709999999</v>
      </c>
      <c r="E31" s="336">
        <f>SUM(E32:E34)</f>
        <v>1467.7991</v>
      </c>
      <c r="F31" s="335">
        <f t="shared" si="7"/>
        <v>22.664954705792915</v>
      </c>
      <c r="G31" s="660">
        <f t="shared" si="10"/>
        <v>101.55845381019786</v>
      </c>
      <c r="H31" s="337"/>
      <c r="I31" s="337"/>
      <c r="J31" s="337"/>
      <c r="K31" s="337"/>
      <c r="L31" s="338"/>
      <c r="M31" s="339"/>
      <c r="N31" s="339"/>
      <c r="O31" s="339"/>
      <c r="P31" s="339"/>
      <c r="Q31" s="339"/>
      <c r="R31" s="339"/>
      <c r="S31" s="339"/>
      <c r="T31" s="587"/>
      <c r="U31" s="340">
        <f>SUM(U32:U34)</f>
        <v>1297</v>
      </c>
      <c r="V31" s="342"/>
      <c r="W31" s="340">
        <f t="shared" ref="W31:AB31" si="12">SUM(W32:W34)</f>
        <v>0</v>
      </c>
      <c r="X31" s="340">
        <f t="shared" si="12"/>
        <v>0</v>
      </c>
      <c r="Y31" s="340">
        <f t="shared" si="12"/>
        <v>0</v>
      </c>
      <c r="Z31" s="340">
        <f t="shared" si="12"/>
        <v>0</v>
      </c>
      <c r="AA31" s="340">
        <f t="shared" si="12"/>
        <v>21</v>
      </c>
      <c r="AB31" s="340">
        <f t="shared" si="12"/>
        <v>0</v>
      </c>
    </row>
    <row r="32" spans="1:28">
      <c r="A32" s="308"/>
      <c r="B32" s="409" t="s">
        <v>21</v>
      </c>
      <c r="C32" s="345">
        <f>C18</f>
        <v>40</v>
      </c>
      <c r="D32" s="345">
        <f t="shared" ref="D32:E32" si="13">D18</f>
        <v>37.068621</v>
      </c>
      <c r="E32" s="345">
        <f t="shared" si="13"/>
        <v>77.263800000000003</v>
      </c>
      <c r="F32" s="345">
        <f t="shared" si="7"/>
        <v>92.671552500000004</v>
      </c>
      <c r="G32" s="661">
        <f t="shared" si="10"/>
        <v>47.976699308084768</v>
      </c>
      <c r="H32" s="337"/>
      <c r="I32" s="337"/>
      <c r="J32" s="337"/>
      <c r="K32" s="337"/>
      <c r="L32" s="338"/>
      <c r="M32" s="339"/>
      <c r="N32" s="339"/>
      <c r="O32" s="339"/>
      <c r="P32" s="339"/>
      <c r="Q32" s="339"/>
      <c r="R32" s="339"/>
      <c r="S32" s="339"/>
      <c r="U32" s="325"/>
      <c r="V32" s="326"/>
      <c r="W32" s="327"/>
      <c r="X32" s="327"/>
      <c r="Y32" s="327"/>
      <c r="Z32" s="327"/>
      <c r="AA32" s="327">
        <v>21</v>
      </c>
      <c r="AB32" s="327"/>
    </row>
    <row r="33" spans="1:28" ht="37.5">
      <c r="A33" s="356"/>
      <c r="B33" s="409" t="s">
        <v>22</v>
      </c>
      <c r="C33" s="345">
        <f t="shared" ref="C33:E34" si="14">C19</f>
        <v>6292</v>
      </c>
      <c r="D33" s="345">
        <f t="shared" si="14"/>
        <v>1361.3543</v>
      </c>
      <c r="E33" s="345">
        <f t="shared" si="14"/>
        <v>1346.6352999999999</v>
      </c>
      <c r="F33" s="345">
        <f t="shared" ref="F33" si="15">D33/C33*100</f>
        <v>21.636273045136679</v>
      </c>
      <c r="G33" s="661">
        <f t="shared" ref="G33" si="16">D33/E33*100</f>
        <v>101.09302050822522</v>
      </c>
      <c r="H33" s="351"/>
      <c r="I33" s="351"/>
      <c r="J33" s="351"/>
      <c r="K33" s="351"/>
      <c r="L33" s="352"/>
      <c r="M33" s="353"/>
      <c r="N33" s="353"/>
      <c r="O33" s="353"/>
      <c r="P33" s="353"/>
      <c r="Q33" s="353"/>
      <c r="R33" s="353"/>
      <c r="S33" s="353"/>
      <c r="U33" s="325"/>
      <c r="V33" s="326"/>
      <c r="W33" s="327"/>
      <c r="X33" s="327"/>
      <c r="Y33" s="327"/>
      <c r="Z33" s="327"/>
      <c r="AA33" s="327"/>
      <c r="AB33" s="327"/>
    </row>
    <row r="34" spans="1:28" ht="56.25">
      <c r="A34" s="308"/>
      <c r="B34" s="409" t="s">
        <v>345</v>
      </c>
      <c r="C34" s="345">
        <f t="shared" si="14"/>
        <v>245</v>
      </c>
      <c r="D34" s="345">
        <f t="shared" si="14"/>
        <v>92.251149999999996</v>
      </c>
      <c r="E34" s="345">
        <f t="shared" si="14"/>
        <v>43.9</v>
      </c>
      <c r="F34" s="345">
        <f t="shared" si="7"/>
        <v>37.653530612244893</v>
      </c>
      <c r="G34" s="661">
        <f>D34/E34*100</f>
        <v>210.13929384965832</v>
      </c>
      <c r="H34" s="351"/>
      <c r="I34" s="351"/>
      <c r="J34" s="351"/>
      <c r="K34" s="351"/>
      <c r="L34" s="352"/>
      <c r="M34" s="353"/>
      <c r="N34" s="353"/>
      <c r="O34" s="353"/>
      <c r="P34" s="353"/>
      <c r="Q34" s="353"/>
      <c r="R34" s="353"/>
      <c r="S34" s="353"/>
      <c r="U34" s="325">
        <v>1297</v>
      </c>
      <c r="V34" s="326"/>
      <c r="W34" s="327"/>
      <c r="X34" s="327"/>
      <c r="Y34" s="327"/>
      <c r="Z34" s="327"/>
      <c r="AA34" s="327"/>
      <c r="AB34" s="327"/>
    </row>
    <row r="35" spans="1:28" ht="20.100000000000001" customHeight="1">
      <c r="A35" s="308" t="s">
        <v>68</v>
      </c>
      <c r="B35" s="328" t="s">
        <v>610</v>
      </c>
      <c r="C35" s="335">
        <f>C36+C76+C77</f>
        <v>114094.12732199999</v>
      </c>
      <c r="D35" s="335">
        <f t="shared" ref="D35:E35" si="17">D36+D76+D77</f>
        <v>38524.862972750001</v>
      </c>
      <c r="E35" s="335">
        <f t="shared" si="17"/>
        <v>28930.405055000003</v>
      </c>
      <c r="F35" s="335">
        <f t="shared" si="7"/>
        <v>33.765859713378532</v>
      </c>
      <c r="G35" s="660">
        <f t="shared" ref="G35:G40" si="18">D35/E35*100</f>
        <v>133.16392528728801</v>
      </c>
      <c r="H35" s="337"/>
      <c r="I35" s="337">
        <f>91312+225+20+580+330+652.8</f>
        <v>93119.8</v>
      </c>
      <c r="J35" s="337"/>
      <c r="K35" s="337">
        <f>SUM(K38:P38)</f>
        <v>5581369160</v>
      </c>
      <c r="L35" s="338"/>
      <c r="M35" s="339"/>
      <c r="N35" s="339"/>
      <c r="O35" s="339"/>
      <c r="P35" s="339"/>
      <c r="Q35" s="339"/>
      <c r="R35" s="339"/>
      <c r="S35" s="339"/>
      <c r="U35" s="365">
        <f t="shared" ref="U35:AB35" si="19">U36+U76+U77</f>
        <v>4959</v>
      </c>
      <c r="V35" s="365">
        <f t="shared" si="19"/>
        <v>1710</v>
      </c>
      <c r="W35" s="365">
        <f t="shared" si="19"/>
        <v>1969</v>
      </c>
      <c r="X35" s="365">
        <f t="shared" si="19"/>
        <v>998</v>
      </c>
      <c r="Y35" s="365">
        <f t="shared" si="19"/>
        <v>589</v>
      </c>
      <c r="Z35" s="365">
        <f t="shared" si="19"/>
        <v>3206</v>
      </c>
      <c r="AA35" s="365">
        <f t="shared" si="19"/>
        <v>4302</v>
      </c>
      <c r="AB35" s="365">
        <f t="shared" si="19"/>
        <v>3048</v>
      </c>
    </row>
    <row r="36" spans="1:28" ht="20.100000000000001" customHeight="1">
      <c r="A36" s="308" t="s">
        <v>3</v>
      </c>
      <c r="B36" s="328" t="s">
        <v>611</v>
      </c>
      <c r="C36" s="335">
        <f>+C37+C40+C47+C50+C53+C56+C59+C62+C65+C68+C71</f>
        <v>114094.12732199999</v>
      </c>
      <c r="D36" s="335">
        <f t="shared" ref="D36:E36" si="20">D37+D40+D47+D50+D53+D56+D59+D62+D65+D68+D71</f>
        <v>38524.862972750001</v>
      </c>
      <c r="E36" s="335">
        <f t="shared" si="20"/>
        <v>28930.405055000003</v>
      </c>
      <c r="F36" s="335">
        <f t="shared" si="7"/>
        <v>33.765859713378532</v>
      </c>
      <c r="G36" s="660">
        <f t="shared" si="18"/>
        <v>133.16392528728801</v>
      </c>
      <c r="H36" s="337"/>
      <c r="I36" s="337"/>
      <c r="J36" s="337"/>
      <c r="K36" s="337">
        <f>SUM(K39:P39)</f>
        <v>2381761092</v>
      </c>
      <c r="L36" s="338"/>
      <c r="M36" s="339"/>
      <c r="N36" s="339"/>
      <c r="O36" s="339"/>
      <c r="P36" s="339"/>
      <c r="Q36" s="339"/>
      <c r="R36" s="339"/>
      <c r="S36" s="339"/>
      <c r="U36" s="365">
        <f t="shared" ref="U36:AB36" si="21">U37+U40+U47+U50+U53+U56+U59+U62+U65+U68</f>
        <v>4959</v>
      </c>
      <c r="V36" s="365">
        <f t="shared" si="21"/>
        <v>1710</v>
      </c>
      <c r="W36" s="365">
        <f t="shared" si="21"/>
        <v>1969</v>
      </c>
      <c r="X36" s="365">
        <f t="shared" si="21"/>
        <v>998</v>
      </c>
      <c r="Y36" s="365">
        <f t="shared" si="21"/>
        <v>589</v>
      </c>
      <c r="Z36" s="365">
        <f t="shared" si="21"/>
        <v>3206</v>
      </c>
      <c r="AA36" s="365">
        <f t="shared" si="21"/>
        <v>4302</v>
      </c>
      <c r="AB36" s="365">
        <f t="shared" si="21"/>
        <v>3048</v>
      </c>
    </row>
    <row r="37" spans="1:28" ht="20.100000000000001" customHeight="1">
      <c r="A37" s="308">
        <v>1</v>
      </c>
      <c r="B37" s="328" t="s">
        <v>606</v>
      </c>
      <c r="C37" s="335">
        <f>C38+C39</f>
        <v>40983.478931000005</v>
      </c>
      <c r="D37" s="335">
        <f>D38+D39</f>
        <v>9640.497917749999</v>
      </c>
      <c r="E37" s="336">
        <f>E38+E39</f>
        <v>10224.316234</v>
      </c>
      <c r="F37" s="335">
        <f t="shared" si="7"/>
        <v>23.522888171550274</v>
      </c>
      <c r="G37" s="660">
        <f t="shared" si="18"/>
        <v>94.289903570191143</v>
      </c>
      <c r="H37" s="337"/>
      <c r="I37" s="337"/>
      <c r="J37" s="337"/>
      <c r="K37" s="337" t="s">
        <v>612</v>
      </c>
      <c r="L37" s="338" t="s">
        <v>613</v>
      </c>
      <c r="M37" s="339" t="s">
        <v>590</v>
      </c>
      <c r="N37" s="339"/>
      <c r="O37" s="339" t="s">
        <v>614</v>
      </c>
      <c r="P37" s="339" t="s">
        <v>591</v>
      </c>
      <c r="Q37" s="339"/>
      <c r="R37" s="339"/>
      <c r="S37" s="339"/>
      <c r="U37" s="364">
        <f t="shared" ref="U37:AB37" si="22">SUM(U38:U39)</f>
        <v>1460</v>
      </c>
      <c r="V37" s="364">
        <f t="shared" si="22"/>
        <v>0</v>
      </c>
      <c r="W37" s="366">
        <f t="shared" si="22"/>
        <v>477</v>
      </c>
      <c r="X37" s="366">
        <f t="shared" si="22"/>
        <v>0</v>
      </c>
      <c r="Y37" s="366">
        <f t="shared" si="22"/>
        <v>546</v>
      </c>
      <c r="Z37" s="366">
        <f t="shared" si="22"/>
        <v>2605</v>
      </c>
      <c r="AA37" s="366">
        <f t="shared" si="22"/>
        <v>1768</v>
      </c>
      <c r="AB37" s="366">
        <f t="shared" si="22"/>
        <v>0</v>
      </c>
    </row>
    <row r="38" spans="1:28" ht="20.100000000000001" customHeight="1">
      <c r="A38" s="347" t="s">
        <v>8</v>
      </c>
      <c r="B38" s="344" t="s">
        <v>607</v>
      </c>
      <c r="C38" s="345">
        <f>SNN!I24/1000000</f>
        <v>30713.900655000001</v>
      </c>
      <c r="D38" s="345">
        <f>SNN!J24/1000000</f>
        <v>6366.9073157499997</v>
      </c>
      <c r="E38" s="345">
        <f>SNN!K24/1000000</f>
        <v>6578.8863670000001</v>
      </c>
      <c r="F38" s="345">
        <f t="shared" si="7"/>
        <v>20.729725563898747</v>
      </c>
      <c r="G38" s="661">
        <f t="shared" si="18"/>
        <v>96.777888544886608</v>
      </c>
      <c r="H38" s="351"/>
      <c r="I38" s="351">
        <f>6237+2387+10772+2493+2011+177+76</f>
        <v>24153</v>
      </c>
      <c r="J38" s="351"/>
      <c r="K38" s="351">
        <v>554879177</v>
      </c>
      <c r="L38" s="352">
        <v>519191491</v>
      </c>
      <c r="M38" s="367">
        <v>2216943388</v>
      </c>
      <c r="N38" s="353"/>
      <c r="O38" s="353">
        <v>425619188</v>
      </c>
      <c r="P38" s="353">
        <v>1864735916</v>
      </c>
      <c r="Q38" s="353"/>
      <c r="R38" s="353"/>
      <c r="S38" s="353"/>
      <c r="U38" s="325">
        <v>588</v>
      </c>
      <c r="V38" s="326"/>
      <c r="W38" s="327">
        <v>445</v>
      </c>
      <c r="X38" s="327"/>
      <c r="Y38" s="326">
        <v>508</v>
      </c>
      <c r="Z38" s="327">
        <v>2544</v>
      </c>
      <c r="AA38" s="327">
        <v>1485</v>
      </c>
      <c r="AB38" s="327"/>
    </row>
    <row r="39" spans="1:28" ht="20.100000000000001" customHeight="1">
      <c r="A39" s="347" t="s">
        <v>9</v>
      </c>
      <c r="B39" s="344" t="s">
        <v>608</v>
      </c>
      <c r="C39" s="345">
        <f>SNN!I25/1000000</f>
        <v>10269.578276</v>
      </c>
      <c r="D39" s="345">
        <f>SNN!J25/1000000</f>
        <v>3273.5906020000002</v>
      </c>
      <c r="E39" s="345">
        <f>SNN!K25/1000000</f>
        <v>3645.4298669999998</v>
      </c>
      <c r="F39" s="345">
        <f t="shared" si="7"/>
        <v>31.876582601745003</v>
      </c>
      <c r="G39" s="661">
        <f t="shared" si="18"/>
        <v>89.799851360026182</v>
      </c>
      <c r="H39" s="351"/>
      <c r="I39" s="351">
        <f>1184+82+126+617+3601+519+20</f>
        <v>6149</v>
      </c>
      <c r="J39" s="351"/>
      <c r="K39" s="351">
        <v>1099806734</v>
      </c>
      <c r="L39" s="352">
        <v>281909436</v>
      </c>
      <c r="M39" s="353">
        <v>354112970</v>
      </c>
      <c r="N39" s="353"/>
      <c r="O39" s="353">
        <v>44501200</v>
      </c>
      <c r="P39" s="353">
        <v>601430752</v>
      </c>
      <c r="Q39" s="353"/>
      <c r="R39" s="353"/>
      <c r="S39" s="353"/>
      <c r="U39" s="325">
        <v>872</v>
      </c>
      <c r="V39" s="326"/>
      <c r="W39" s="327">
        <v>32</v>
      </c>
      <c r="X39" s="326"/>
      <c r="Y39" s="326">
        <v>38</v>
      </c>
      <c r="Z39" s="327">
        <v>61</v>
      </c>
      <c r="AA39" s="327">
        <v>283</v>
      </c>
      <c r="AB39" s="327"/>
    </row>
    <row r="40" spans="1:28" ht="20.100000000000001" customHeight="1">
      <c r="A40" s="308">
        <v>2</v>
      </c>
      <c r="B40" s="328" t="s">
        <v>615</v>
      </c>
      <c r="C40" s="335">
        <f>+C41+C45+C46</f>
        <v>250</v>
      </c>
      <c r="D40" s="335">
        <f t="shared" ref="D40:E40" si="23">+D41+D45+D46</f>
        <v>0</v>
      </c>
      <c r="E40" s="335">
        <f t="shared" si="23"/>
        <v>0</v>
      </c>
      <c r="F40" s="662">
        <f t="shared" si="7"/>
        <v>0</v>
      </c>
      <c r="G40" s="662" t="e">
        <f t="shared" si="18"/>
        <v>#DIV/0!</v>
      </c>
      <c r="H40" s="337"/>
      <c r="I40" s="337"/>
      <c r="J40" s="337"/>
      <c r="K40" s="337"/>
      <c r="L40" s="338"/>
      <c r="M40" s="339"/>
      <c r="N40" s="339"/>
      <c r="O40" s="339"/>
      <c r="P40" s="339"/>
      <c r="Q40" s="339"/>
      <c r="R40" s="339"/>
      <c r="S40" s="339"/>
      <c r="U40" s="325"/>
      <c r="V40" s="326"/>
      <c r="W40" s="327"/>
      <c r="X40" s="327"/>
      <c r="Y40" s="326"/>
      <c r="Z40" s="327"/>
      <c r="AA40" s="327"/>
      <c r="AB40" s="327"/>
    </row>
    <row r="41" spans="1:28" ht="37.5" customHeight="1">
      <c r="A41" s="347" t="s">
        <v>12</v>
      </c>
      <c r="B41" s="344" t="s">
        <v>616</v>
      </c>
      <c r="C41" s="345"/>
      <c r="D41" s="345"/>
      <c r="E41" s="350"/>
      <c r="F41" s="345"/>
      <c r="G41" s="661"/>
      <c r="H41" s="351"/>
      <c r="I41" s="351"/>
      <c r="J41" s="351"/>
      <c r="K41" s="351"/>
      <c r="L41" s="352"/>
      <c r="M41" s="353"/>
      <c r="N41" s="353"/>
      <c r="O41" s="353"/>
      <c r="P41" s="353"/>
      <c r="Q41" s="353"/>
      <c r="R41" s="353"/>
      <c r="S41" s="353"/>
      <c r="U41" s="325"/>
      <c r="V41" s="326"/>
      <c r="W41" s="327"/>
      <c r="X41" s="327"/>
      <c r="Y41" s="326"/>
      <c r="Z41" s="327"/>
      <c r="AA41" s="327"/>
      <c r="AB41" s="327"/>
    </row>
    <row r="42" spans="1:28" ht="20.100000000000001" customHeight="1">
      <c r="A42" s="368"/>
      <c r="B42" s="369" t="s">
        <v>617</v>
      </c>
      <c r="C42" s="345"/>
      <c r="D42" s="345"/>
      <c r="E42" s="350"/>
      <c r="F42" s="345"/>
      <c r="G42" s="661"/>
      <c r="H42" s="348"/>
      <c r="I42" s="348"/>
      <c r="J42" s="348"/>
      <c r="K42" s="348"/>
      <c r="L42" s="349"/>
      <c r="M42" s="299"/>
      <c r="N42" s="299"/>
      <c r="O42" s="299"/>
      <c r="P42" s="299"/>
      <c r="Q42" s="299"/>
      <c r="R42" s="299"/>
      <c r="S42" s="299"/>
      <c r="U42" s="325"/>
      <c r="V42" s="326"/>
      <c r="W42" s="327"/>
      <c r="X42" s="327"/>
      <c r="Y42" s="326"/>
      <c r="Z42" s="327"/>
      <c r="AA42" s="327"/>
      <c r="AB42" s="327"/>
    </row>
    <row r="43" spans="1:28" ht="20.100000000000001" customHeight="1">
      <c r="A43" s="368"/>
      <c r="B43" s="369" t="s">
        <v>618</v>
      </c>
      <c r="C43" s="345"/>
      <c r="D43" s="345"/>
      <c r="E43" s="350"/>
      <c r="F43" s="345"/>
      <c r="G43" s="661"/>
      <c r="H43" s="348"/>
      <c r="I43" s="348"/>
      <c r="J43" s="348"/>
      <c r="K43" s="348"/>
      <c r="L43" s="349"/>
      <c r="M43" s="299"/>
      <c r="N43" s="299"/>
      <c r="O43" s="299"/>
      <c r="P43" s="299"/>
      <c r="Q43" s="299"/>
      <c r="R43" s="299"/>
      <c r="S43" s="299"/>
      <c r="U43" s="325"/>
      <c r="V43" s="326"/>
      <c r="W43" s="327"/>
      <c r="X43" s="327"/>
      <c r="Y43" s="326"/>
      <c r="Z43" s="327"/>
      <c r="AA43" s="327"/>
      <c r="AB43" s="327"/>
    </row>
    <row r="44" spans="1:28" ht="19.5" customHeight="1">
      <c r="A44" s="368"/>
      <c r="B44" s="369" t="s">
        <v>619</v>
      </c>
      <c r="C44" s="345"/>
      <c r="D44" s="345"/>
      <c r="E44" s="350"/>
      <c r="F44" s="330"/>
      <c r="G44" s="661"/>
      <c r="H44" s="348"/>
      <c r="I44" s="348"/>
      <c r="J44" s="348"/>
      <c r="K44" s="348"/>
      <c r="L44" s="349"/>
      <c r="M44" s="299"/>
      <c r="N44" s="299"/>
      <c r="O44" s="299"/>
      <c r="P44" s="299"/>
      <c r="Q44" s="299"/>
      <c r="R44" s="299"/>
      <c r="S44" s="299"/>
      <c r="U44" s="325"/>
      <c r="V44" s="326"/>
      <c r="W44" s="327"/>
      <c r="X44" s="327"/>
      <c r="Y44" s="326"/>
      <c r="Z44" s="327"/>
      <c r="AA44" s="327"/>
      <c r="AB44" s="327"/>
    </row>
    <row r="45" spans="1:28" ht="37.5" customHeight="1">
      <c r="A45" s="347" t="s">
        <v>13</v>
      </c>
      <c r="B45" s="344" t="s">
        <v>620</v>
      </c>
      <c r="C45" s="345"/>
      <c r="D45" s="345"/>
      <c r="E45" s="350"/>
      <c r="F45" s="345"/>
      <c r="G45" s="661"/>
      <c r="H45" s="348"/>
      <c r="I45" s="348"/>
      <c r="J45" s="348"/>
      <c r="K45" s="348"/>
      <c r="L45" s="349"/>
      <c r="M45" s="299"/>
      <c r="N45" s="299"/>
      <c r="O45" s="299"/>
      <c r="P45" s="299"/>
      <c r="Q45" s="299"/>
      <c r="R45" s="299"/>
      <c r="S45" s="299"/>
      <c r="U45" s="325"/>
      <c r="V45" s="326"/>
      <c r="W45" s="327"/>
      <c r="X45" s="327"/>
      <c r="Y45" s="326"/>
      <c r="Z45" s="327"/>
      <c r="AA45" s="327"/>
      <c r="AB45" s="327"/>
    </row>
    <row r="46" spans="1:28" ht="20.100000000000001" customHeight="1">
      <c r="A46" s="347" t="s">
        <v>16</v>
      </c>
      <c r="B46" s="344" t="s">
        <v>621</v>
      </c>
      <c r="C46" s="345">
        <f>SNN!I42/1000000</f>
        <v>250</v>
      </c>
      <c r="D46" s="345">
        <f>SNN!J42/1000000</f>
        <v>0</v>
      </c>
      <c r="E46" s="345">
        <f>SNN!K42/1000000</f>
        <v>0</v>
      </c>
      <c r="F46" s="663">
        <f t="shared" ref="F46:F47" si="24">D46/C46*100</f>
        <v>0</v>
      </c>
      <c r="G46" s="663" t="e">
        <f t="shared" ref="G46:G47" si="25">D46/E46*100</f>
        <v>#DIV/0!</v>
      </c>
      <c r="H46" s="311"/>
      <c r="I46" s="311"/>
      <c r="J46" s="311"/>
      <c r="K46" s="311"/>
      <c r="L46" s="312"/>
      <c r="M46" s="296"/>
      <c r="N46" s="296"/>
      <c r="O46" s="296"/>
      <c r="P46" s="296"/>
      <c r="Q46" s="296"/>
      <c r="R46" s="296"/>
      <c r="S46" s="296"/>
      <c r="U46" s="325"/>
      <c r="V46" s="326"/>
      <c r="W46" s="327"/>
      <c r="X46" s="327"/>
      <c r="Y46" s="326"/>
      <c r="Z46" s="327"/>
      <c r="AA46" s="327"/>
      <c r="AB46" s="327"/>
    </row>
    <row r="47" spans="1:28" ht="20.100000000000001" customHeight="1">
      <c r="A47" s="308">
        <v>3</v>
      </c>
      <c r="B47" s="328" t="s">
        <v>622</v>
      </c>
      <c r="C47" s="335">
        <f>+C48+C49</f>
        <v>282.49</v>
      </c>
      <c r="D47" s="335">
        <f t="shared" ref="D47:E47" si="26">+D48+D49</f>
        <v>0</v>
      </c>
      <c r="E47" s="335">
        <f t="shared" si="26"/>
        <v>0</v>
      </c>
      <c r="F47" s="662">
        <f t="shared" si="24"/>
        <v>0</v>
      </c>
      <c r="G47" s="662" t="e">
        <f t="shared" si="25"/>
        <v>#DIV/0!</v>
      </c>
      <c r="H47" s="337"/>
      <c r="I47" s="337"/>
      <c r="J47" s="337"/>
      <c r="K47" s="337"/>
      <c r="L47" s="338"/>
      <c r="M47" s="339"/>
      <c r="N47" s="339"/>
      <c r="O47" s="339"/>
      <c r="P47" s="339"/>
      <c r="Q47" s="339"/>
      <c r="R47" s="339"/>
      <c r="S47" s="339"/>
      <c r="U47" s="365">
        <f>U48+U49</f>
        <v>0</v>
      </c>
      <c r="V47" s="365">
        <f t="shared" ref="V47:AB47" si="27">V48+V49</f>
        <v>0</v>
      </c>
      <c r="W47" s="365">
        <f t="shared" si="27"/>
        <v>0</v>
      </c>
      <c r="X47" s="365">
        <f t="shared" si="27"/>
        <v>0</v>
      </c>
      <c r="Y47" s="365">
        <f t="shared" si="27"/>
        <v>0</v>
      </c>
      <c r="Z47" s="365">
        <f t="shared" si="27"/>
        <v>0</v>
      </c>
      <c r="AA47" s="365">
        <f t="shared" si="27"/>
        <v>0</v>
      </c>
      <c r="AB47" s="365">
        <f t="shared" si="27"/>
        <v>0</v>
      </c>
    </row>
    <row r="48" spans="1:28" ht="20.100000000000001" customHeight="1">
      <c r="A48" s="347" t="s">
        <v>623</v>
      </c>
      <c r="B48" s="344" t="s">
        <v>604</v>
      </c>
      <c r="C48" s="345"/>
      <c r="D48" s="345"/>
      <c r="E48" s="350"/>
      <c r="F48" s="335"/>
      <c r="G48" s="660"/>
      <c r="H48" s="337"/>
      <c r="I48" s="337"/>
      <c r="J48" s="337"/>
      <c r="K48" s="337"/>
      <c r="L48" s="338"/>
      <c r="M48" s="339"/>
      <c r="N48" s="339"/>
      <c r="O48" s="339"/>
      <c r="P48" s="339"/>
      <c r="Q48" s="339"/>
      <c r="R48" s="339"/>
      <c r="S48" s="339"/>
      <c r="U48" s="325"/>
      <c r="V48" s="326"/>
      <c r="W48" s="327"/>
      <c r="X48" s="327"/>
      <c r="Y48" s="326"/>
      <c r="Z48" s="327"/>
      <c r="AA48" s="327"/>
      <c r="AB48" s="327"/>
    </row>
    <row r="49" spans="1:28" ht="20.100000000000001" customHeight="1">
      <c r="A49" s="347" t="s">
        <v>624</v>
      </c>
      <c r="B49" s="344" t="s">
        <v>621</v>
      </c>
      <c r="C49" s="345">
        <f>SNN!I45/1000000</f>
        <v>282.49</v>
      </c>
      <c r="D49" s="345">
        <f>SNN!J45/1000000</f>
        <v>0</v>
      </c>
      <c r="E49" s="345">
        <f>SNN!K45/1000000</f>
        <v>0</v>
      </c>
      <c r="F49" s="663">
        <f t="shared" ref="F49" si="28">D49/C49*100</f>
        <v>0</v>
      </c>
      <c r="G49" s="663" t="e">
        <f t="shared" ref="G49" si="29">D49/E49*100</f>
        <v>#DIV/0!</v>
      </c>
      <c r="H49" s="351"/>
      <c r="I49" s="351"/>
      <c r="J49" s="351"/>
      <c r="K49" s="351"/>
      <c r="L49" s="352"/>
      <c r="M49" s="353"/>
      <c r="N49" s="353"/>
      <c r="O49" s="353"/>
      <c r="P49" s="353"/>
      <c r="Q49" s="353"/>
      <c r="R49" s="353"/>
      <c r="S49" s="353"/>
      <c r="U49" s="325"/>
      <c r="V49" s="326"/>
      <c r="W49" s="327"/>
      <c r="X49" s="327"/>
      <c r="Y49" s="326"/>
      <c r="Z49" s="327"/>
      <c r="AA49" s="327"/>
      <c r="AB49" s="327"/>
    </row>
    <row r="50" spans="1:28" ht="20.100000000000001" customHeight="1">
      <c r="A50" s="308">
        <v>4</v>
      </c>
      <c r="B50" s="328" t="s">
        <v>625</v>
      </c>
      <c r="C50" s="335"/>
      <c r="D50" s="335"/>
      <c r="E50" s="336"/>
      <c r="F50" s="335"/>
      <c r="G50" s="660"/>
      <c r="H50" s="337"/>
      <c r="I50" s="337"/>
      <c r="J50" s="337"/>
      <c r="K50" s="337"/>
      <c r="L50" s="338"/>
      <c r="M50" s="339"/>
      <c r="N50" s="339"/>
      <c r="O50" s="339"/>
      <c r="P50" s="339"/>
      <c r="Q50" s="339"/>
      <c r="R50" s="339"/>
      <c r="S50" s="339"/>
      <c r="U50" s="370">
        <f>U51+U52</f>
        <v>0</v>
      </c>
      <c r="V50" s="370">
        <f t="shared" ref="V50:AB50" si="30">V51+V52</f>
        <v>0</v>
      </c>
      <c r="W50" s="370">
        <f t="shared" si="30"/>
        <v>0</v>
      </c>
      <c r="X50" s="370">
        <f t="shared" si="30"/>
        <v>0</v>
      </c>
      <c r="Y50" s="370">
        <f t="shared" si="30"/>
        <v>0</v>
      </c>
      <c r="Z50" s="370">
        <f t="shared" si="30"/>
        <v>0</v>
      </c>
      <c r="AA50" s="370">
        <f t="shared" si="30"/>
        <v>0</v>
      </c>
      <c r="AB50" s="370">
        <f t="shared" si="30"/>
        <v>0</v>
      </c>
    </row>
    <row r="51" spans="1:28" ht="20.100000000000001" customHeight="1">
      <c r="A51" s="347" t="s">
        <v>626</v>
      </c>
      <c r="B51" s="344" t="s">
        <v>604</v>
      </c>
      <c r="C51" s="345"/>
      <c r="D51" s="345"/>
      <c r="E51" s="350"/>
      <c r="F51" s="335"/>
      <c r="G51" s="660"/>
      <c r="H51" s="337"/>
      <c r="I51" s="337"/>
      <c r="J51" s="337"/>
      <c r="K51" s="337"/>
      <c r="L51" s="338"/>
      <c r="M51" s="339"/>
      <c r="N51" s="339"/>
      <c r="O51" s="339"/>
      <c r="P51" s="339"/>
      <c r="Q51" s="339"/>
      <c r="R51" s="339"/>
      <c r="S51" s="339"/>
      <c r="U51" s="325"/>
      <c r="V51" s="326"/>
      <c r="W51" s="327"/>
      <c r="X51" s="327"/>
      <c r="Y51" s="326"/>
      <c r="Z51" s="327"/>
      <c r="AA51" s="327"/>
      <c r="AB51" s="327"/>
    </row>
    <row r="52" spans="1:28" ht="20.100000000000001" customHeight="1">
      <c r="A52" s="347" t="s">
        <v>627</v>
      </c>
      <c r="B52" s="344" t="s">
        <v>621</v>
      </c>
      <c r="C52" s="345"/>
      <c r="D52" s="345"/>
      <c r="E52" s="350"/>
      <c r="F52" s="335"/>
      <c r="G52" s="660"/>
      <c r="H52" s="337"/>
      <c r="I52" s="337"/>
      <c r="J52" s="337"/>
      <c r="K52" s="337"/>
      <c r="L52" s="338"/>
      <c r="M52" s="339"/>
      <c r="N52" s="339"/>
      <c r="O52" s="339"/>
      <c r="P52" s="339"/>
      <c r="Q52" s="339"/>
      <c r="R52" s="339"/>
      <c r="S52" s="339"/>
      <c r="U52" s="325"/>
      <c r="V52" s="326"/>
      <c r="W52" s="327"/>
      <c r="X52" s="327"/>
      <c r="Y52" s="326"/>
      <c r="Z52" s="327"/>
      <c r="AA52" s="327"/>
      <c r="AB52" s="327"/>
    </row>
    <row r="53" spans="1:28" ht="20.100000000000001" customHeight="1">
      <c r="A53" s="308">
        <v>5</v>
      </c>
      <c r="B53" s="328" t="s">
        <v>628</v>
      </c>
      <c r="C53" s="335">
        <f>C54+C55</f>
        <v>336</v>
      </c>
      <c r="D53" s="335">
        <f t="shared" ref="D53:E53" si="31">D54+D55</f>
        <v>0</v>
      </c>
      <c r="E53" s="335">
        <f t="shared" si="31"/>
        <v>0</v>
      </c>
      <c r="F53" s="335">
        <f t="shared" ref="F53" si="32">D53/C53*100</f>
        <v>0</v>
      </c>
      <c r="G53" s="662" t="e">
        <f t="shared" ref="G53" si="33">D53/E53*100</f>
        <v>#DIV/0!</v>
      </c>
      <c r="H53" s="337"/>
      <c r="I53" s="337"/>
      <c r="J53" s="337"/>
      <c r="K53" s="337"/>
      <c r="L53" s="338"/>
      <c r="M53" s="339"/>
      <c r="N53" s="339"/>
      <c r="O53" s="339"/>
      <c r="P53" s="339"/>
      <c r="Q53" s="339"/>
      <c r="R53" s="339"/>
      <c r="S53" s="339"/>
      <c r="U53" s="365">
        <f t="shared" ref="U53:AB53" si="34">U54+U55</f>
        <v>0</v>
      </c>
      <c r="V53" s="365">
        <f t="shared" si="34"/>
        <v>0</v>
      </c>
      <c r="W53" s="365">
        <f t="shared" si="34"/>
        <v>0</v>
      </c>
      <c r="X53" s="365">
        <f t="shared" si="34"/>
        <v>0</v>
      </c>
      <c r="Y53" s="365">
        <f t="shared" si="34"/>
        <v>0</v>
      </c>
      <c r="Z53" s="365">
        <f t="shared" si="34"/>
        <v>0</v>
      </c>
      <c r="AA53" s="365">
        <f t="shared" si="34"/>
        <v>0</v>
      </c>
      <c r="AB53" s="365">
        <f t="shared" si="34"/>
        <v>0</v>
      </c>
    </row>
    <row r="54" spans="1:28" ht="20.100000000000001" customHeight="1">
      <c r="A54" s="347" t="s">
        <v>629</v>
      </c>
      <c r="B54" s="344" t="s">
        <v>604</v>
      </c>
      <c r="C54" s="345"/>
      <c r="D54" s="345"/>
      <c r="E54" s="350"/>
      <c r="F54" s="335"/>
      <c r="G54" s="660"/>
      <c r="H54" s="337"/>
      <c r="I54" s="337"/>
      <c r="J54" s="337"/>
      <c r="K54" s="337">
        <f>SUM(K57:R57)</f>
        <v>5145527129</v>
      </c>
      <c r="L54" s="338"/>
      <c r="M54" s="339"/>
      <c r="N54" s="339"/>
      <c r="O54" s="339"/>
      <c r="P54" s="339"/>
      <c r="Q54" s="339"/>
      <c r="R54" s="339"/>
      <c r="S54" s="339"/>
      <c r="U54" s="325"/>
      <c r="V54" s="326"/>
      <c r="W54" s="327"/>
      <c r="X54" s="327"/>
      <c r="Y54" s="326"/>
      <c r="Z54" s="327"/>
      <c r="AA54" s="327"/>
      <c r="AB54" s="327"/>
    </row>
    <row r="55" spans="1:28" ht="20.100000000000001" customHeight="1">
      <c r="A55" s="347" t="s">
        <v>630</v>
      </c>
      <c r="B55" s="344" t="s">
        <v>621</v>
      </c>
      <c r="C55" s="345">
        <f>SNN!I48/1000000</f>
        <v>336</v>
      </c>
      <c r="D55" s="345">
        <f>SNN!J48/1000000</f>
        <v>0</v>
      </c>
      <c r="E55" s="345">
        <f>SNN!K48/1000000</f>
        <v>0</v>
      </c>
      <c r="F55" s="345">
        <f t="shared" ref="F55:F61" si="35">D55/C55*100</f>
        <v>0</v>
      </c>
      <c r="G55" s="663" t="e">
        <f t="shared" ref="G55:G61" si="36">D55/E55*100</f>
        <v>#DIV/0!</v>
      </c>
      <c r="H55" s="351"/>
      <c r="I55" s="351"/>
      <c r="J55" s="351"/>
      <c r="K55" s="337">
        <f>SUM(K58:R58)</f>
        <v>4231770477</v>
      </c>
      <c r="L55" s="352"/>
      <c r="M55" s="353"/>
      <c r="N55" s="353"/>
      <c r="O55" s="353"/>
      <c r="P55" s="353"/>
      <c r="Q55" s="353"/>
      <c r="R55" s="353"/>
      <c r="S55" s="353"/>
      <c r="U55" s="325"/>
      <c r="V55" s="326"/>
      <c r="W55" s="326"/>
      <c r="X55" s="326"/>
      <c r="Y55" s="326"/>
      <c r="Z55" s="327"/>
      <c r="AA55" s="327"/>
      <c r="AB55" s="327"/>
    </row>
    <row r="56" spans="1:28" ht="20.100000000000001" customHeight="1">
      <c r="A56" s="308">
        <v>6</v>
      </c>
      <c r="B56" s="328" t="s">
        <v>631</v>
      </c>
      <c r="C56" s="335">
        <f>C57+C58</f>
        <v>60199.424890999995</v>
      </c>
      <c r="D56" s="335">
        <f>D57+D58</f>
        <v>23152.677041000003</v>
      </c>
      <c r="E56" s="336">
        <f>E57+E58</f>
        <v>17147.966958000001</v>
      </c>
      <c r="F56" s="335">
        <f t="shared" si="35"/>
        <v>38.459963833410974</v>
      </c>
      <c r="G56" s="660">
        <f t="shared" si="36"/>
        <v>135.01703786639638</v>
      </c>
      <c r="H56" s="337"/>
      <c r="I56" s="337"/>
      <c r="J56" s="337"/>
      <c r="K56" s="337" t="s">
        <v>586</v>
      </c>
      <c r="L56" s="338" t="s">
        <v>613</v>
      </c>
      <c r="M56" s="339" t="s">
        <v>592</v>
      </c>
      <c r="N56" s="339" t="s">
        <v>632</v>
      </c>
      <c r="O56" s="339" t="s">
        <v>614</v>
      </c>
      <c r="P56" s="339" t="s">
        <v>591</v>
      </c>
      <c r="Q56" s="339" t="s">
        <v>590</v>
      </c>
      <c r="R56" s="339" t="s">
        <v>633</v>
      </c>
      <c r="S56" s="339"/>
      <c r="U56" s="365">
        <f t="shared" ref="U56:AB56" si="37">U57+U58</f>
        <v>3499</v>
      </c>
      <c r="V56" s="365">
        <f t="shared" si="37"/>
        <v>1710</v>
      </c>
      <c r="W56" s="365">
        <f t="shared" si="37"/>
        <v>1467</v>
      </c>
      <c r="X56" s="365">
        <f t="shared" si="37"/>
        <v>998</v>
      </c>
      <c r="Y56" s="365">
        <f t="shared" si="37"/>
        <v>43</v>
      </c>
      <c r="Z56" s="365">
        <f t="shared" si="37"/>
        <v>601</v>
      </c>
      <c r="AA56" s="365">
        <f t="shared" si="37"/>
        <v>2534</v>
      </c>
      <c r="AB56" s="365">
        <f t="shared" si="37"/>
        <v>3048</v>
      </c>
    </row>
    <row r="57" spans="1:28" ht="20.100000000000001" customHeight="1">
      <c r="A57" s="347" t="s">
        <v>634</v>
      </c>
      <c r="B57" s="344" t="s">
        <v>604</v>
      </c>
      <c r="C57" s="345">
        <f>(SNN!I28+SNN!I31+SNN!I34)/1000000</f>
        <v>24339.653450999998</v>
      </c>
      <c r="D57" s="345">
        <f>(SNN!J28+SNN!J31+SNN!J34)/1000000</f>
        <v>8422.2683610000004</v>
      </c>
      <c r="E57" s="345">
        <f>(SNN!K28+SNN!K31+SNN!K34)/1000000</f>
        <v>5619.0006030000004</v>
      </c>
      <c r="F57" s="345">
        <f t="shared" si="35"/>
        <v>34.603074271190863</v>
      </c>
      <c r="G57" s="661">
        <f t="shared" si="36"/>
        <v>149.88908092487705</v>
      </c>
      <c r="H57" s="351"/>
      <c r="I57" s="351">
        <f>300122009+1257412297+1009631676+957319869+668038923+409517320</f>
        <v>4602042094</v>
      </c>
      <c r="J57" s="351">
        <f>14782+5248+797</f>
        <v>20827</v>
      </c>
      <c r="K57" s="351">
        <v>1848996086</v>
      </c>
      <c r="L57" s="352">
        <v>921504328</v>
      </c>
      <c r="M57" s="353">
        <v>187848043</v>
      </c>
      <c r="N57" s="353">
        <v>818801300</v>
      </c>
      <c r="O57" s="353"/>
      <c r="P57" s="353"/>
      <c r="Q57" s="353">
        <v>320794078</v>
      </c>
      <c r="R57" s="353">
        <v>1047583294</v>
      </c>
      <c r="S57" s="353"/>
      <c r="U57" s="325">
        <v>1093</v>
      </c>
      <c r="V57" s="326">
        <v>983</v>
      </c>
      <c r="W57" s="326">
        <v>950</v>
      </c>
      <c r="X57" s="326">
        <v>668</v>
      </c>
      <c r="Y57" s="326"/>
      <c r="Z57" s="327">
        <v>311</v>
      </c>
      <c r="AA57" s="327"/>
      <c r="AB57" s="327">
        <v>287</v>
      </c>
    </row>
    <row r="58" spans="1:28" ht="20.100000000000001" customHeight="1">
      <c r="A58" s="347" t="s">
        <v>635</v>
      </c>
      <c r="B58" s="344" t="s">
        <v>621</v>
      </c>
      <c r="C58" s="345">
        <f>(SNN!I29+SNN!I32+SNN!I35+SNN!I38)/1000000</f>
        <v>35859.771439999997</v>
      </c>
      <c r="D58" s="345">
        <f>(SNN!J29+SNN!J32+SNN!J35+SNN!J38)/1000000</f>
        <v>14730.40868</v>
      </c>
      <c r="E58" s="345">
        <f>(SNN!K29+SNN!K32+SNN!K35+SNN!K38)/1000000</f>
        <v>11528.966355</v>
      </c>
      <c r="F58" s="345">
        <f t="shared" si="35"/>
        <v>41.077809725158701</v>
      </c>
      <c r="G58" s="661">
        <f t="shared" si="36"/>
        <v>127.76868477555723</v>
      </c>
      <c r="H58" s="351"/>
      <c r="I58" s="351">
        <f>143500500+2416352000+215831934+224954745+1000888063+193983774+1090528260+156800000+291117118+2665401366</f>
        <v>8399357760</v>
      </c>
      <c r="J58" s="351"/>
      <c r="K58" s="351">
        <v>608419600</v>
      </c>
      <c r="L58" s="352">
        <v>989585767</v>
      </c>
      <c r="M58" s="353">
        <v>34598634</v>
      </c>
      <c r="N58" s="353">
        <v>736938500</v>
      </c>
      <c r="O58" s="353">
        <v>172587185</v>
      </c>
      <c r="P58" s="353">
        <v>111705700</v>
      </c>
      <c r="Q58" s="353">
        <v>409099162</v>
      </c>
      <c r="R58" s="353">
        <v>1168835929</v>
      </c>
      <c r="S58" s="353"/>
      <c r="U58" s="325">
        <v>2406</v>
      </c>
      <c r="V58" s="326">
        <v>727</v>
      </c>
      <c r="W58" s="326">
        <v>517</v>
      </c>
      <c r="X58" s="326">
        <v>330</v>
      </c>
      <c r="Y58" s="326">
        <v>43</v>
      </c>
      <c r="Z58" s="327">
        <v>290</v>
      </c>
      <c r="AA58" s="327">
        <v>2534</v>
      </c>
      <c r="AB58" s="327">
        <v>2761</v>
      </c>
    </row>
    <row r="59" spans="1:28" ht="20.100000000000001" customHeight="1">
      <c r="A59" s="308">
        <v>7</v>
      </c>
      <c r="B59" s="328" t="s">
        <v>636</v>
      </c>
      <c r="C59" s="335">
        <f>C60+C61</f>
        <v>178.15</v>
      </c>
      <c r="D59" s="335">
        <f>D60+D61</f>
        <v>55.656703999999998</v>
      </c>
      <c r="E59" s="335">
        <f>E60+E61</f>
        <v>246.50568899999999</v>
      </c>
      <c r="F59" s="335">
        <f t="shared" si="35"/>
        <v>31.241484142576475</v>
      </c>
      <c r="G59" s="660">
        <f t="shared" si="36"/>
        <v>22.578263498007949</v>
      </c>
      <c r="H59" s="337"/>
      <c r="I59" s="337"/>
      <c r="J59" s="337"/>
      <c r="K59" s="337"/>
      <c r="L59" s="338" t="s">
        <v>613</v>
      </c>
      <c r="M59" s="339"/>
      <c r="N59" s="339"/>
      <c r="O59" s="339"/>
      <c r="P59" s="339"/>
      <c r="Q59" s="339"/>
      <c r="R59" s="339"/>
      <c r="S59" s="339"/>
      <c r="U59" s="365">
        <f t="shared" ref="U59:AB59" si="38">U60+U61</f>
        <v>0</v>
      </c>
      <c r="V59" s="365">
        <f t="shared" si="38"/>
        <v>0</v>
      </c>
      <c r="W59" s="365">
        <f t="shared" si="38"/>
        <v>25</v>
      </c>
      <c r="X59" s="365">
        <f t="shared" si="38"/>
        <v>0</v>
      </c>
      <c r="Y59" s="365">
        <f t="shared" si="38"/>
        <v>0</v>
      </c>
      <c r="Z59" s="365">
        <f t="shared" si="38"/>
        <v>0</v>
      </c>
      <c r="AA59" s="365">
        <f t="shared" si="38"/>
        <v>0</v>
      </c>
      <c r="AB59" s="365">
        <f t="shared" si="38"/>
        <v>0</v>
      </c>
    </row>
    <row r="60" spans="1:28" ht="20.100000000000001" customHeight="1">
      <c r="A60" s="347" t="s">
        <v>637</v>
      </c>
      <c r="B60" s="344" t="s">
        <v>604</v>
      </c>
      <c r="C60" s="345"/>
      <c r="D60" s="345"/>
      <c r="E60" s="350"/>
      <c r="F60" s="345"/>
      <c r="G60" s="660"/>
      <c r="H60" s="337"/>
      <c r="I60" s="337"/>
      <c r="J60" s="337"/>
      <c r="K60" s="337"/>
      <c r="M60" s="339"/>
      <c r="N60" s="339"/>
      <c r="O60" s="339"/>
      <c r="P60" s="339"/>
      <c r="Q60" s="339"/>
      <c r="R60" s="339"/>
      <c r="S60" s="339"/>
      <c r="U60" s="325"/>
      <c r="V60" s="326"/>
      <c r="W60" s="327"/>
      <c r="X60" s="327"/>
      <c r="Y60" s="326"/>
      <c r="Z60" s="327"/>
      <c r="AA60" s="327"/>
      <c r="AB60" s="327"/>
    </row>
    <row r="61" spans="1:28" ht="20.100000000000001" customHeight="1">
      <c r="A61" s="347" t="s">
        <v>638</v>
      </c>
      <c r="B61" s="344" t="s">
        <v>621</v>
      </c>
      <c r="C61" s="345">
        <f>SNN!I39/1000000</f>
        <v>178.15</v>
      </c>
      <c r="D61" s="345">
        <f>SNN!J39/1000000</f>
        <v>55.656703999999998</v>
      </c>
      <c r="E61" s="345">
        <f>SNN!K39/1000000</f>
        <v>246.50568899999999</v>
      </c>
      <c r="F61" s="345">
        <f t="shared" si="35"/>
        <v>31.241484142576475</v>
      </c>
      <c r="G61" s="661">
        <f t="shared" si="36"/>
        <v>22.578263498007949</v>
      </c>
      <c r="H61" s="351"/>
      <c r="I61" s="351">
        <v>69070000</v>
      </c>
      <c r="J61" s="351"/>
      <c r="K61" s="351"/>
      <c r="L61" s="338">
        <v>25677308</v>
      </c>
      <c r="M61" s="353"/>
      <c r="N61" s="353"/>
      <c r="O61" s="353"/>
      <c r="P61" s="353"/>
      <c r="Q61" s="353"/>
      <c r="R61" s="353"/>
      <c r="S61" s="353"/>
      <c r="U61" s="325"/>
      <c r="V61" s="326"/>
      <c r="W61" s="327">
        <v>25</v>
      </c>
      <c r="X61" s="327"/>
      <c r="Y61" s="326"/>
      <c r="Z61" s="327"/>
      <c r="AA61" s="327"/>
      <c r="AB61" s="327"/>
    </row>
    <row r="62" spans="1:28" ht="20.100000000000001" customHeight="1">
      <c r="A62" s="308">
        <v>8</v>
      </c>
      <c r="B62" s="328" t="s">
        <v>639</v>
      </c>
      <c r="C62" s="335"/>
      <c r="D62" s="335"/>
      <c r="E62" s="336"/>
      <c r="F62" s="335"/>
      <c r="G62" s="660"/>
      <c r="H62" s="311"/>
      <c r="I62" s="311"/>
      <c r="J62" s="311"/>
      <c r="K62" s="311"/>
      <c r="L62" s="312"/>
      <c r="M62" s="296"/>
      <c r="N62" s="296"/>
      <c r="O62" s="296"/>
      <c r="P62" s="296"/>
      <c r="Q62" s="296"/>
      <c r="R62" s="296"/>
      <c r="S62" s="296"/>
      <c r="U62" s="325"/>
      <c r="V62" s="326"/>
      <c r="W62" s="327"/>
      <c r="X62" s="327"/>
      <c r="Y62" s="326"/>
      <c r="Z62" s="327"/>
      <c r="AA62" s="327"/>
      <c r="AB62" s="327"/>
    </row>
    <row r="63" spans="1:28" ht="20.100000000000001" customHeight="1">
      <c r="A63" s="347" t="s">
        <v>640</v>
      </c>
      <c r="B63" s="344" t="s">
        <v>604</v>
      </c>
      <c r="C63" s="335"/>
      <c r="D63" s="335"/>
      <c r="E63" s="336"/>
      <c r="F63" s="335"/>
      <c r="G63" s="660"/>
      <c r="H63" s="311"/>
      <c r="I63" s="311"/>
      <c r="J63" s="311"/>
      <c r="K63" s="311"/>
      <c r="L63" s="312"/>
      <c r="M63" s="296"/>
      <c r="N63" s="296"/>
      <c r="O63" s="296"/>
      <c r="P63" s="296"/>
      <c r="Q63" s="296"/>
      <c r="R63" s="296"/>
      <c r="S63" s="296"/>
      <c r="U63" s="325"/>
      <c r="V63" s="326"/>
      <c r="W63" s="327"/>
      <c r="X63" s="327"/>
      <c r="Y63" s="326"/>
      <c r="Z63" s="327"/>
      <c r="AA63" s="327"/>
      <c r="AB63" s="327"/>
    </row>
    <row r="64" spans="1:28" ht="20.100000000000001" customHeight="1">
      <c r="A64" s="347" t="s">
        <v>641</v>
      </c>
      <c r="B64" s="344" t="s">
        <v>621</v>
      </c>
      <c r="C64" s="335"/>
      <c r="D64" s="335"/>
      <c r="E64" s="336"/>
      <c r="F64" s="335"/>
      <c r="G64" s="660"/>
      <c r="H64" s="311"/>
      <c r="I64" s="311"/>
      <c r="J64" s="311"/>
      <c r="K64" s="311"/>
      <c r="L64" s="312"/>
      <c r="M64" s="296"/>
      <c r="N64" s="296"/>
      <c r="O64" s="296"/>
      <c r="P64" s="296"/>
      <c r="Q64" s="296"/>
      <c r="R64" s="296"/>
      <c r="S64" s="296"/>
      <c r="U64" s="325"/>
      <c r="V64" s="326"/>
      <c r="W64" s="327"/>
      <c r="X64" s="327"/>
      <c r="Y64" s="326"/>
      <c r="Z64" s="327"/>
      <c r="AA64" s="327"/>
      <c r="AB64" s="327"/>
    </row>
    <row r="65" spans="1:28" ht="38.25" customHeight="1">
      <c r="A65" s="308">
        <v>9</v>
      </c>
      <c r="B65" s="328" t="s">
        <v>642</v>
      </c>
      <c r="C65" s="335"/>
      <c r="D65" s="335"/>
      <c r="E65" s="336"/>
      <c r="F65" s="335"/>
      <c r="G65" s="660"/>
      <c r="H65" s="311"/>
      <c r="I65" s="311"/>
      <c r="J65" s="311"/>
      <c r="K65" s="311"/>
      <c r="L65" s="312"/>
      <c r="M65" s="296"/>
      <c r="N65" s="296"/>
      <c r="O65" s="296"/>
      <c r="P65" s="296"/>
      <c r="Q65" s="296"/>
      <c r="R65" s="296"/>
      <c r="S65" s="296"/>
      <c r="U65" s="325"/>
      <c r="V65" s="326"/>
      <c r="W65" s="327"/>
      <c r="X65" s="327"/>
      <c r="Y65" s="326"/>
      <c r="Z65" s="327"/>
      <c r="AA65" s="327"/>
      <c r="AB65" s="327"/>
    </row>
    <row r="66" spans="1:28" ht="20.100000000000001" customHeight="1">
      <c r="A66" s="347" t="s">
        <v>643</v>
      </c>
      <c r="B66" s="344" t="s">
        <v>604</v>
      </c>
      <c r="C66" s="335"/>
      <c r="D66" s="335"/>
      <c r="E66" s="336"/>
      <c r="F66" s="335"/>
      <c r="G66" s="660"/>
      <c r="H66" s="311"/>
      <c r="I66" s="311"/>
      <c r="J66" s="311"/>
      <c r="K66" s="311"/>
      <c r="L66" s="312"/>
      <c r="M66" s="296"/>
      <c r="N66" s="296"/>
      <c r="O66" s="296"/>
      <c r="P66" s="296"/>
      <c r="Q66" s="296"/>
      <c r="R66" s="296"/>
      <c r="S66" s="296"/>
      <c r="U66" s="325"/>
      <c r="V66" s="326"/>
      <c r="W66" s="327"/>
      <c r="X66" s="327"/>
      <c r="Y66" s="326"/>
      <c r="Z66" s="327"/>
      <c r="AA66" s="327"/>
      <c r="AB66" s="327"/>
    </row>
    <row r="67" spans="1:28" ht="20.100000000000001" customHeight="1">
      <c r="A67" s="347" t="s">
        <v>644</v>
      </c>
      <c r="B67" s="344" t="s">
        <v>621</v>
      </c>
      <c r="C67" s="335"/>
      <c r="D67" s="335"/>
      <c r="E67" s="336"/>
      <c r="F67" s="335"/>
      <c r="G67" s="660"/>
      <c r="H67" s="311"/>
      <c r="I67" s="311"/>
      <c r="J67" s="311"/>
      <c r="K67" s="311"/>
      <c r="L67" s="312"/>
      <c r="M67" s="296"/>
      <c r="N67" s="296"/>
      <c r="O67" s="296"/>
      <c r="P67" s="296"/>
      <c r="Q67" s="296"/>
      <c r="R67" s="296"/>
      <c r="S67" s="296"/>
      <c r="U67" s="325"/>
      <c r="V67" s="326"/>
      <c r="W67" s="327"/>
      <c r="X67" s="327"/>
      <c r="Y67" s="326"/>
      <c r="Z67" s="327"/>
      <c r="AA67" s="327"/>
      <c r="AB67" s="327"/>
    </row>
    <row r="68" spans="1:28" ht="20.100000000000001" customHeight="1">
      <c r="A68" s="308">
        <v>10</v>
      </c>
      <c r="B68" s="328" t="s">
        <v>645</v>
      </c>
      <c r="C68" s="335"/>
      <c r="D68" s="335"/>
      <c r="E68" s="336"/>
      <c r="F68" s="335"/>
      <c r="G68" s="660"/>
      <c r="H68" s="311"/>
      <c r="I68" s="311"/>
      <c r="J68" s="311">
        <v>107</v>
      </c>
      <c r="K68" s="311"/>
      <c r="L68" s="312"/>
      <c r="M68" s="296"/>
      <c r="N68" s="296"/>
      <c r="O68" s="296"/>
      <c r="P68" s="296"/>
      <c r="Q68" s="296"/>
      <c r="R68" s="296"/>
      <c r="S68" s="296"/>
      <c r="U68" s="325"/>
      <c r="V68" s="326"/>
      <c r="W68" s="327"/>
      <c r="X68" s="327"/>
      <c r="Y68" s="326"/>
      <c r="Z68" s="327"/>
      <c r="AA68" s="327"/>
      <c r="AB68" s="327"/>
    </row>
    <row r="69" spans="1:28" ht="20.100000000000001" customHeight="1">
      <c r="A69" s="347" t="s">
        <v>646</v>
      </c>
      <c r="B69" s="344" t="s">
        <v>604</v>
      </c>
      <c r="C69" s="335"/>
      <c r="D69" s="335"/>
      <c r="E69" s="336"/>
      <c r="F69" s="335"/>
      <c r="G69" s="660"/>
      <c r="H69" s="311"/>
      <c r="I69" s="311"/>
      <c r="J69" s="311"/>
      <c r="K69" s="311"/>
      <c r="L69" s="312"/>
      <c r="M69" s="296"/>
      <c r="N69" s="296"/>
      <c r="O69" s="296"/>
      <c r="P69" s="296"/>
      <c r="Q69" s="296"/>
      <c r="R69" s="296"/>
      <c r="S69" s="296"/>
      <c r="U69" s="325"/>
      <c r="V69" s="326"/>
      <c r="W69" s="327"/>
      <c r="X69" s="327"/>
      <c r="Y69" s="326"/>
      <c r="Z69" s="327"/>
      <c r="AA69" s="327"/>
      <c r="AB69" s="327"/>
    </row>
    <row r="70" spans="1:28" ht="20.100000000000001" customHeight="1">
      <c r="A70" s="347" t="s">
        <v>647</v>
      </c>
      <c r="B70" s="344" t="s">
        <v>621</v>
      </c>
      <c r="C70" s="335"/>
      <c r="D70" s="335"/>
      <c r="E70" s="336"/>
      <c r="F70" s="335"/>
      <c r="G70" s="660"/>
      <c r="H70" s="311"/>
      <c r="I70" s="311"/>
      <c r="J70" s="311"/>
      <c r="K70" s="311"/>
      <c r="L70" s="312"/>
      <c r="M70" s="296"/>
      <c r="N70" s="296"/>
      <c r="O70" s="296"/>
      <c r="P70" s="296"/>
      <c r="Q70" s="296"/>
      <c r="R70" s="296"/>
      <c r="S70" s="296"/>
      <c r="U70" s="325"/>
      <c r="V70" s="326"/>
      <c r="W70" s="327"/>
      <c r="X70" s="327"/>
      <c r="Y70" s="326"/>
      <c r="Z70" s="327"/>
      <c r="AA70" s="327"/>
      <c r="AB70" s="327"/>
    </row>
    <row r="71" spans="1:28" ht="20.100000000000001" customHeight="1">
      <c r="A71" s="308">
        <v>11</v>
      </c>
      <c r="B71" s="328" t="s">
        <v>648</v>
      </c>
      <c r="C71" s="335">
        <f>C72+C73</f>
        <v>11864.583500000001</v>
      </c>
      <c r="D71" s="335">
        <f>D72+D73</f>
        <v>5676.0313100000003</v>
      </c>
      <c r="E71" s="336">
        <f>E72+E73</f>
        <v>1311.616174</v>
      </c>
      <c r="F71" s="335">
        <f>D71/C71*100</f>
        <v>47.840122748514517</v>
      </c>
      <c r="G71" s="660">
        <f>E71/D71*100</f>
        <v>23.107979895903711</v>
      </c>
      <c r="H71" s="311"/>
      <c r="I71" s="311"/>
      <c r="J71" s="311"/>
      <c r="K71" s="311"/>
      <c r="L71" s="312"/>
      <c r="N71" s="296"/>
      <c r="O71" s="296"/>
      <c r="P71" s="296"/>
      <c r="Q71" s="296"/>
      <c r="R71" s="296"/>
      <c r="S71" s="296"/>
      <c r="U71" s="325"/>
      <c r="V71" s="326"/>
      <c r="W71" s="327"/>
      <c r="X71" s="327"/>
      <c r="Y71" s="326"/>
      <c r="Z71" s="327"/>
      <c r="AA71" s="327"/>
      <c r="AB71" s="327"/>
    </row>
    <row r="72" spans="1:28" ht="20.100000000000001" customHeight="1">
      <c r="A72" s="347" t="s">
        <v>649</v>
      </c>
      <c r="B72" s="344" t="s">
        <v>650</v>
      </c>
      <c r="C72" s="345">
        <f>SNN!I52/1000000</f>
        <v>10861</v>
      </c>
      <c r="D72" s="400">
        <f>SNN!J52/1000000</f>
        <v>4861.2489599999999</v>
      </c>
      <c r="E72" s="345">
        <f>SNN!K52/1000000</f>
        <v>0</v>
      </c>
      <c r="F72" s="400">
        <f>D72/C72*100</f>
        <v>44.758760335144096</v>
      </c>
      <c r="G72" s="663">
        <f>E72/D72*100</f>
        <v>0</v>
      </c>
      <c r="H72" s="348"/>
      <c r="I72" s="348"/>
      <c r="J72" s="348"/>
      <c r="K72" s="348">
        <f>SUM(K75:P75)</f>
        <v>3227812572</v>
      </c>
      <c r="L72" s="349"/>
      <c r="M72" s="299"/>
      <c r="N72" s="299"/>
      <c r="O72" s="299"/>
      <c r="P72" s="299"/>
      <c r="Q72" s="299"/>
      <c r="R72" s="299"/>
      <c r="S72" s="299"/>
      <c r="U72" s="325"/>
      <c r="V72" s="326"/>
      <c r="W72" s="327"/>
      <c r="X72" s="327"/>
      <c r="Y72" s="326"/>
      <c r="Z72" s="327"/>
      <c r="AA72" s="327"/>
      <c r="AB72" s="327"/>
    </row>
    <row r="73" spans="1:28" ht="20.100000000000001" customHeight="1">
      <c r="A73" s="347" t="s">
        <v>651</v>
      </c>
      <c r="B73" s="344" t="s">
        <v>648</v>
      </c>
      <c r="C73" s="361">
        <f>C74+C75</f>
        <v>1003.5835</v>
      </c>
      <c r="D73" s="345">
        <f>D74+D75</f>
        <v>814.78234999999995</v>
      </c>
      <c r="E73" s="350">
        <f>E74+E75</f>
        <v>1311.616174</v>
      </c>
      <c r="F73" s="345">
        <f t="shared" ref="F73:G75" si="39">D73/C73*100</f>
        <v>81.187300309341467</v>
      </c>
      <c r="G73" s="661">
        <f t="shared" si="39"/>
        <v>160.97748975539298</v>
      </c>
      <c r="H73" s="348"/>
      <c r="I73" s="348"/>
      <c r="J73" s="348"/>
      <c r="K73" s="348" t="s">
        <v>586</v>
      </c>
      <c r="L73" s="349" t="s">
        <v>613</v>
      </c>
      <c r="M73" s="296" t="s">
        <v>592</v>
      </c>
      <c r="N73" s="299" t="s">
        <v>591</v>
      </c>
      <c r="O73" s="299" t="s">
        <v>614</v>
      </c>
      <c r="P73" s="299"/>
      <c r="Q73" s="299"/>
      <c r="R73" s="299"/>
      <c r="S73" s="299"/>
      <c r="U73" s="325"/>
      <c r="V73" s="326"/>
      <c r="W73" s="327"/>
      <c r="X73" s="327"/>
      <c r="Y73" s="326"/>
      <c r="Z73" s="327"/>
      <c r="AA73" s="327"/>
      <c r="AB73" s="327"/>
    </row>
    <row r="74" spans="1:28" ht="36" customHeight="1">
      <c r="A74" s="347" t="s">
        <v>14</v>
      </c>
      <c r="B74" s="344" t="s">
        <v>652</v>
      </c>
      <c r="C74" s="345">
        <f>SNN!I56/1000000</f>
        <v>28</v>
      </c>
      <c r="D74" s="345">
        <f>SNN!J56/1000000</f>
        <v>13.3</v>
      </c>
      <c r="E74" s="345">
        <f>SNN!K56/1000000</f>
        <v>30</v>
      </c>
      <c r="F74" s="663">
        <f t="shared" si="39"/>
        <v>47.5</v>
      </c>
      <c r="G74" s="663">
        <f t="shared" si="39"/>
        <v>225.5639097744361</v>
      </c>
      <c r="H74" s="348"/>
      <c r="I74" s="348"/>
      <c r="J74" s="348"/>
      <c r="K74" s="348"/>
      <c r="L74" s="349"/>
      <c r="M74" s="296"/>
      <c r="N74" s="299">
        <v>0</v>
      </c>
      <c r="O74" s="299"/>
      <c r="P74" s="299"/>
      <c r="Q74" s="299"/>
      <c r="R74" s="299"/>
      <c r="S74" s="299"/>
      <c r="U74" s="325"/>
      <c r="V74" s="326"/>
      <c r="W74" s="327"/>
      <c r="X74" s="327"/>
      <c r="Y74" s="326"/>
      <c r="Z74" s="327"/>
      <c r="AA74" s="327"/>
      <c r="AB74" s="327"/>
    </row>
    <row r="75" spans="1:28" ht="20.100000000000001" customHeight="1">
      <c r="A75" s="347" t="s">
        <v>15</v>
      </c>
      <c r="B75" s="344" t="s">
        <v>653</v>
      </c>
      <c r="C75" s="345">
        <f>SNN!I59/1000000</f>
        <v>975.58349999999996</v>
      </c>
      <c r="D75" s="345">
        <f>SNN!J59/1000000</f>
        <v>801.48235</v>
      </c>
      <c r="E75" s="345">
        <f>SNN!K59/1000000</f>
        <v>1281.616174</v>
      </c>
      <c r="F75" s="345">
        <f t="shared" si="39"/>
        <v>82.154151848611633</v>
      </c>
      <c r="G75" s="661">
        <f t="shared" si="39"/>
        <v>159.9057264330275</v>
      </c>
      <c r="H75" s="348"/>
      <c r="I75" s="348"/>
      <c r="J75" s="348"/>
      <c r="K75" s="348">
        <v>12000000</v>
      </c>
      <c r="L75" s="349">
        <v>10200000</v>
      </c>
      <c r="M75" s="299">
        <v>3060612572</v>
      </c>
      <c r="N75" s="372">
        <v>135000000</v>
      </c>
      <c r="O75" s="299">
        <v>10000000</v>
      </c>
      <c r="P75" s="299"/>
      <c r="Q75" s="299"/>
      <c r="R75" s="299"/>
      <c r="S75" s="299"/>
      <c r="U75" s="325"/>
      <c r="V75" s="326"/>
      <c r="W75" s="327"/>
      <c r="X75" s="327"/>
      <c r="Y75" s="326"/>
      <c r="Z75" s="327"/>
      <c r="AA75" s="327"/>
      <c r="AB75" s="327"/>
    </row>
    <row r="76" spans="1:28" ht="15.75">
      <c r="A76" s="308" t="s">
        <v>5</v>
      </c>
      <c r="B76" s="328" t="s">
        <v>654</v>
      </c>
      <c r="C76" s="335"/>
      <c r="D76" s="335"/>
      <c r="E76" s="336"/>
      <c r="F76" s="335"/>
      <c r="G76" s="660"/>
      <c r="H76" s="311"/>
      <c r="I76" s="311"/>
      <c r="J76" s="311"/>
      <c r="K76" s="311"/>
      <c r="L76" s="312"/>
      <c r="M76" s="296"/>
      <c r="N76" s="296"/>
      <c r="O76" s="296"/>
      <c r="P76" s="296"/>
      <c r="Q76" s="296"/>
      <c r="R76" s="296"/>
      <c r="S76" s="296"/>
      <c r="U76" s="325"/>
      <c r="V76" s="326"/>
      <c r="W76" s="327"/>
      <c r="X76" s="327"/>
      <c r="Y76" s="326"/>
      <c r="Z76" s="327"/>
      <c r="AA76" s="327"/>
      <c r="AB76" s="327"/>
    </row>
    <row r="77" spans="1:28" ht="15.75">
      <c r="A77" s="308" t="s">
        <v>90</v>
      </c>
      <c r="B77" s="328" t="s">
        <v>655</v>
      </c>
      <c r="C77" s="335"/>
      <c r="D77" s="335"/>
      <c r="E77" s="336"/>
      <c r="F77" s="335"/>
      <c r="G77" s="660"/>
      <c r="H77" s="311"/>
      <c r="I77" s="311"/>
      <c r="J77" s="311"/>
      <c r="K77" s="311"/>
      <c r="L77" s="312"/>
      <c r="M77" s="296"/>
      <c r="N77" s="296"/>
      <c r="O77" s="296"/>
      <c r="P77" s="296"/>
      <c r="Q77" s="296"/>
      <c r="R77" s="296"/>
      <c r="S77" s="296"/>
      <c r="U77" s="325"/>
      <c r="V77" s="326"/>
      <c r="W77" s="327"/>
      <c r="X77" s="327"/>
      <c r="Y77" s="326"/>
      <c r="Z77" s="327"/>
      <c r="AA77" s="327"/>
      <c r="AB77" s="327"/>
    </row>
    <row r="79" spans="1:28">
      <c r="D79" s="680"/>
      <c r="E79" s="680"/>
      <c r="F79" s="680"/>
      <c r="G79" s="680"/>
      <c r="H79" s="373"/>
      <c r="I79" s="373"/>
      <c r="J79" s="373"/>
      <c r="K79" s="373"/>
      <c r="L79" s="374"/>
      <c r="M79" s="375"/>
      <c r="N79" s="375"/>
      <c r="O79" s="375"/>
      <c r="P79" s="375"/>
      <c r="Q79" s="375"/>
      <c r="R79" s="375"/>
      <c r="S79" s="375"/>
    </row>
    <row r="80" spans="1:28">
      <c r="D80" s="681"/>
      <c r="E80" s="681"/>
      <c r="F80" s="681"/>
      <c r="G80" s="681"/>
      <c r="H80" s="279"/>
      <c r="I80" s="279"/>
      <c r="J80" s="279"/>
      <c r="K80" s="279"/>
      <c r="L80" s="280"/>
      <c r="M80" s="281"/>
      <c r="N80" s="281"/>
      <c r="O80" s="281"/>
      <c r="P80" s="281"/>
      <c r="Q80" s="281"/>
      <c r="R80" s="281"/>
      <c r="S80" s="281"/>
    </row>
    <row r="81" spans="2:19">
      <c r="B81" s="582"/>
      <c r="D81" s="680"/>
      <c r="E81" s="680"/>
      <c r="F81" s="680"/>
      <c r="G81" s="680"/>
      <c r="H81" s="373"/>
      <c r="I81" s="373"/>
      <c r="J81" s="373"/>
      <c r="K81" s="373"/>
      <c r="L81" s="374"/>
      <c r="M81" s="375"/>
      <c r="N81" s="375"/>
      <c r="O81" s="375"/>
      <c r="P81" s="375"/>
      <c r="Q81" s="375"/>
      <c r="R81" s="375"/>
      <c r="S81" s="375"/>
    </row>
    <row r="82" spans="2:19">
      <c r="B82" s="582"/>
      <c r="D82" s="681"/>
      <c r="E82" s="681"/>
      <c r="F82" s="681"/>
      <c r="G82" s="681"/>
      <c r="H82" s="279"/>
      <c r="I82" s="279"/>
      <c r="J82" s="279"/>
      <c r="K82" s="279"/>
      <c r="L82" s="280"/>
      <c r="M82" s="281"/>
      <c r="N82" s="281"/>
      <c r="O82" s="281"/>
      <c r="P82" s="281"/>
      <c r="Q82" s="281"/>
      <c r="R82" s="281"/>
      <c r="S82" s="281"/>
    </row>
    <row r="83" spans="2:19">
      <c r="B83" s="582"/>
    </row>
    <row r="84" spans="2:19">
      <c r="B84" s="582"/>
    </row>
    <row r="85" spans="2:19">
      <c r="B85" s="582"/>
    </row>
    <row r="86" spans="2:19">
      <c r="B86" s="582"/>
    </row>
    <row r="87" spans="2:19">
      <c r="B87" s="582"/>
    </row>
    <row r="88" spans="2:19">
      <c r="B88" s="582"/>
    </row>
    <row r="89" spans="2:19">
      <c r="B89" s="582"/>
    </row>
    <row r="92" spans="2:19">
      <c r="B92" s="583"/>
    </row>
    <row r="94" spans="2:19">
      <c r="B94" s="584"/>
    </row>
    <row r="95" spans="2:19">
      <c r="B95" s="582"/>
    </row>
    <row r="97" spans="2:2">
      <c r="B97" s="582"/>
    </row>
  </sheetData>
  <sheetProtection formatCells="0" formatColumns="0" formatRows="0" insertColumns="0" insertRows="0" insertHyperlinks="0" deleteColumns="0" deleteRows="0" sort="0" autoFilter="0" pivotTables="0"/>
  <autoFilter ref="A12:AB77" xr:uid="{30D50190-6C78-4F9B-B733-CA9A96AB2BF1}"/>
  <mergeCells count="16">
    <mergeCell ref="D79:G79"/>
    <mergeCell ref="D80:G80"/>
    <mergeCell ref="D81:G81"/>
    <mergeCell ref="D82:G82"/>
    <mergeCell ref="A5:G5"/>
    <mergeCell ref="A6:G6"/>
    <mergeCell ref="A7:G7"/>
    <mergeCell ref="A8:G8"/>
    <mergeCell ref="A9:G9"/>
    <mergeCell ref="F10:G10"/>
    <mergeCell ref="C4:G4"/>
    <mergeCell ref="A1:B1"/>
    <mergeCell ref="C1:G1"/>
    <mergeCell ref="A2:B2"/>
    <mergeCell ref="C2:G2"/>
    <mergeCell ref="C3:G3"/>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694" t="s">
        <v>111</v>
      </c>
      <c r="E1" s="694"/>
      <c r="F1" s="694"/>
      <c r="G1" s="694"/>
      <c r="H1" s="694"/>
      <c r="I1" s="694"/>
      <c r="J1" s="694"/>
      <c r="K1" s="694"/>
      <c r="L1" s="694"/>
      <c r="M1" s="694"/>
      <c r="N1" s="694"/>
      <c r="O1" s="694"/>
      <c r="P1" s="694"/>
      <c r="Q1" s="694"/>
      <c r="R1" s="2"/>
      <c r="S1" s="2"/>
      <c r="T1" s="2"/>
      <c r="U1" s="2"/>
      <c r="V1" s="2"/>
      <c r="W1" s="2"/>
      <c r="X1" s="2"/>
      <c r="Y1" s="2"/>
    </row>
    <row r="2" spans="1:25" s="3" customFormat="1" ht="42.75" customHeight="1">
      <c r="B2" s="4"/>
      <c r="C2" s="4"/>
      <c r="D2" s="695" t="s">
        <v>112</v>
      </c>
      <c r="E2" s="695"/>
      <c r="F2" s="695"/>
      <c r="G2" s="695"/>
      <c r="H2" s="695"/>
      <c r="I2" s="695"/>
      <c r="J2" s="695"/>
      <c r="K2" s="695"/>
      <c r="L2" s="695"/>
      <c r="M2" s="695"/>
      <c r="N2" s="695"/>
      <c r="O2" s="695"/>
      <c r="P2" s="695"/>
      <c r="Q2" s="695"/>
      <c r="R2" s="4"/>
      <c r="S2" s="4"/>
      <c r="T2" s="4"/>
      <c r="U2" s="4"/>
      <c r="V2" s="4"/>
      <c r="W2" s="4"/>
      <c r="X2" s="4"/>
      <c r="Y2" s="4"/>
    </row>
    <row r="3" spans="1:25" ht="48.75" customHeight="1">
      <c r="B3" s="5"/>
      <c r="C3" s="5"/>
      <c r="D3" s="696" t="s">
        <v>113</v>
      </c>
      <c r="E3" s="696"/>
      <c r="F3" s="696"/>
      <c r="G3" s="696"/>
      <c r="H3" s="696"/>
      <c r="I3" s="696"/>
      <c r="J3" s="696"/>
      <c r="K3" s="696"/>
      <c r="L3" s="696"/>
      <c r="M3" s="696"/>
      <c r="N3" s="696"/>
      <c r="O3" s="696"/>
      <c r="P3" s="696"/>
      <c r="Q3" s="696"/>
      <c r="R3" s="5"/>
      <c r="S3" s="5"/>
      <c r="T3" s="5"/>
      <c r="U3" s="5"/>
      <c r="V3" s="5"/>
      <c r="W3" s="5"/>
      <c r="X3" s="5"/>
      <c r="Y3" s="5"/>
    </row>
    <row r="4" spans="1:25">
      <c r="B4" s="6"/>
      <c r="Q4" s="9" t="s">
        <v>114</v>
      </c>
    </row>
    <row r="5" spans="1:25" s="10" customFormat="1">
      <c r="A5" s="691" t="s">
        <v>2</v>
      </c>
      <c r="B5" s="691" t="s">
        <v>115</v>
      </c>
      <c r="C5" s="697" t="s">
        <v>116</v>
      </c>
      <c r="D5" s="687" t="s">
        <v>117</v>
      </c>
      <c r="E5" s="687" t="s">
        <v>118</v>
      </c>
      <c r="F5" s="689" t="s">
        <v>119</v>
      </c>
      <c r="G5" s="693"/>
      <c r="H5" s="693"/>
      <c r="I5" s="690"/>
      <c r="J5" s="687" t="s">
        <v>120</v>
      </c>
      <c r="K5" s="689" t="s">
        <v>119</v>
      </c>
      <c r="L5" s="693"/>
      <c r="M5" s="690"/>
      <c r="N5" s="687" t="s">
        <v>121</v>
      </c>
      <c r="O5" s="687" t="s">
        <v>122</v>
      </c>
      <c r="P5" s="689" t="s">
        <v>119</v>
      </c>
      <c r="Q5" s="690"/>
      <c r="R5" s="687" t="s">
        <v>123</v>
      </c>
      <c r="S5" s="687" t="s">
        <v>124</v>
      </c>
      <c r="T5" s="687" t="s">
        <v>125</v>
      </c>
      <c r="U5" s="687" t="s">
        <v>126</v>
      </c>
      <c r="V5" s="687" t="s">
        <v>127</v>
      </c>
      <c r="W5" s="689" t="s">
        <v>119</v>
      </c>
      <c r="X5" s="690"/>
      <c r="Y5" s="691" t="s">
        <v>128</v>
      </c>
    </row>
    <row r="6" spans="1:25" s="10" customFormat="1" ht="80.25" customHeight="1">
      <c r="A6" s="692"/>
      <c r="B6" s="692"/>
      <c r="C6" s="698"/>
      <c r="D6" s="688"/>
      <c r="E6" s="688"/>
      <c r="F6" s="11" t="s">
        <v>129</v>
      </c>
      <c r="G6" s="12" t="s">
        <v>130</v>
      </c>
      <c r="H6" s="12" t="s">
        <v>131</v>
      </c>
      <c r="I6" s="12" t="s">
        <v>132</v>
      </c>
      <c r="J6" s="688"/>
      <c r="K6" s="12" t="s">
        <v>133</v>
      </c>
      <c r="L6" s="12" t="s">
        <v>134</v>
      </c>
      <c r="M6" s="12" t="s">
        <v>135</v>
      </c>
      <c r="N6" s="688"/>
      <c r="O6" s="688"/>
      <c r="P6" s="12" t="s">
        <v>136</v>
      </c>
      <c r="Q6" s="12" t="s">
        <v>137</v>
      </c>
      <c r="R6" s="688"/>
      <c r="S6" s="688"/>
      <c r="T6" s="688"/>
      <c r="U6" s="688"/>
      <c r="V6" s="688"/>
      <c r="W6" s="12" t="s">
        <v>138</v>
      </c>
      <c r="X6" s="12" t="s">
        <v>139</v>
      </c>
      <c r="Y6" s="692"/>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685" t="s">
        <v>220</v>
      </c>
      <c r="C55" s="686"/>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685" t="s">
        <v>238</v>
      </c>
      <c r="C82" s="686"/>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685" t="s">
        <v>245</v>
      </c>
      <c r="C97" s="686"/>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685" t="s">
        <v>253</v>
      </c>
      <c r="C112" s="686"/>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685" t="s">
        <v>257</v>
      </c>
      <c r="C134" s="686"/>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685" t="s">
        <v>264</v>
      </c>
      <c r="C144" s="686"/>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685" t="s">
        <v>220</v>
      </c>
      <c r="C208" s="686"/>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D1:Q1"/>
    <mergeCell ref="D2:Q2"/>
    <mergeCell ref="D3:Q3"/>
    <mergeCell ref="A5:A6"/>
    <mergeCell ref="B5:B6"/>
    <mergeCell ref="C5:C6"/>
    <mergeCell ref="D5:D6"/>
    <mergeCell ref="E5:E6"/>
    <mergeCell ref="F5:I5"/>
    <mergeCell ref="J5:J6"/>
    <mergeCell ref="Y5:Y6"/>
    <mergeCell ref="B55:C55"/>
    <mergeCell ref="K5:M5"/>
    <mergeCell ref="N5:N6"/>
    <mergeCell ref="O5:O6"/>
    <mergeCell ref="P5:Q5"/>
    <mergeCell ref="R5:R6"/>
    <mergeCell ref="S5:S6"/>
    <mergeCell ref="B208:C208"/>
    <mergeCell ref="T5:T6"/>
    <mergeCell ref="U5:U6"/>
    <mergeCell ref="V5:V6"/>
    <mergeCell ref="W5:X5"/>
    <mergeCell ref="B82:C82"/>
    <mergeCell ref="B97:C97"/>
    <mergeCell ref="B112:C112"/>
    <mergeCell ref="B134:C134"/>
    <mergeCell ref="B144:C1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vt:lpstr>
      <vt:lpstr>Bieu 3</vt:lpstr>
      <vt:lpstr>IV.2</vt:lpstr>
      <vt:lpstr>'Bieu 3'!Print_Area</vt:lpstr>
      <vt:lpstr>SNN!Print_Area</vt:lpstr>
      <vt:lpstr>'Bieu 3'!Print_Titles</vt:lpstr>
      <vt:lpstr>SNN!Print_Titles</vt:lpstr>
      <vt:lpstr>'SNN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2024-10-21T02:33:28Z</cp:lastPrinted>
  <dcterms:created xsi:type="dcterms:W3CDTF">2005-12-28T07:49:32Z</dcterms:created>
  <dcterms:modified xsi:type="dcterms:W3CDTF">2025-01-10T09:36:17Z</dcterms:modified>
</cp:coreProperties>
</file>