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J:\My Drive\Tam\2024\12. Cong khai thu chi 2024\Cong khai nam 2024\"/>
    </mc:Choice>
  </mc:AlternateContent>
  <xr:revisionPtr revIDLastSave="0" documentId="13_ncr:1_{F4460BD4-ABBC-43DE-A632-2F886531CAE7}" xr6:coauthVersionLast="36" xr6:coauthVersionMax="47" xr10:uidLastSave="{00000000-0000-0000-0000-000000000000}"/>
  <bookViews>
    <workbookView xWindow="-120" yWindow="-120" windowWidth="20730" windowHeight="11160" firstSheet="3" activeTab="3" xr2:uid="{00000000-000D-0000-FFFF-FFFF00000000}"/>
  </bookViews>
  <sheets>
    <sheet name="foxz" sheetId="22" state="veryHidden" r:id="rId1"/>
    <sheet name="SNN (2)" sheetId="23" state="hidden" r:id="rId2"/>
    <sheet name="SNN" sheetId="20" state="hidden" r:id="rId3"/>
    <sheet name="Bieu 3" sheetId="24" r:id="rId4"/>
    <sheet name="IV.2" sheetId="21" state="hidden" r:id="rId5"/>
  </sheets>
  <definedNames>
    <definedName name="_xlnm._FilterDatabase" localSheetId="3" hidden="1">'Bieu 3'!$A$12:$AB$78</definedName>
    <definedName name="_xlnm._FilterDatabase" localSheetId="2" hidden="1">SNN!$A$5:$AC$5</definedName>
    <definedName name="_xlnm._FilterDatabase" localSheetId="1" hidden="1">'SNN (2)'!$A$5:$K$5</definedName>
    <definedName name="_xlnm.Print_Area" localSheetId="3">'Bieu 3'!$A$1:$G$82</definedName>
    <definedName name="_xlnm.Print_Area" localSheetId="2">SNN!$A$1:$R$559</definedName>
    <definedName name="_xlnm.Print_Titles" localSheetId="3">'Bieu 3'!$12:$13</definedName>
    <definedName name="_xlnm.Print_Titles" localSheetId="2">SNN!$3:$5</definedName>
    <definedName name="_xlnm.Print_Titles" localSheetId="1">'SNN (2)'!$5:$5</definedName>
  </definedNames>
  <calcPr calcId="191029"/>
</workbook>
</file>

<file path=xl/calcChain.xml><?xml version="1.0" encoding="utf-8"?>
<calcChain xmlns="http://schemas.openxmlformats.org/spreadsheetml/2006/main">
  <c r="J349" i="20" l="1"/>
  <c r="J352" i="20"/>
  <c r="I352" i="20"/>
  <c r="I349" i="20"/>
  <c r="J510" i="20" l="1"/>
  <c r="J52" i="20" l="1"/>
  <c r="K52" i="20"/>
  <c r="J54" i="20"/>
  <c r="K54" i="20"/>
  <c r="K58" i="20"/>
  <c r="K56" i="20" s="1"/>
  <c r="K61" i="20"/>
  <c r="K59" i="20" s="1"/>
  <c r="J63" i="20"/>
  <c r="J62" i="20" s="1"/>
  <c r="K63" i="20"/>
  <c r="K62" i="20" s="1"/>
  <c r="J64" i="20"/>
  <c r="K64" i="20"/>
  <c r="K55" i="20" l="1"/>
  <c r="K51" i="20"/>
  <c r="J134" i="20" l="1"/>
  <c r="J132" i="20"/>
  <c r="J131" i="20"/>
  <c r="J98" i="20"/>
  <c r="J97" i="20"/>
  <c r="J96" i="20"/>
  <c r="J95" i="20"/>
  <c r="J94" i="20"/>
  <c r="J93" i="20"/>
  <c r="J92" i="20"/>
  <c r="J245" i="20" l="1"/>
  <c r="J242" i="20"/>
  <c r="J200" i="20"/>
  <c r="J273" i="20"/>
  <c r="J256" i="20" l="1"/>
  <c r="J369" i="20" l="1"/>
  <c r="J336" i="20"/>
  <c r="J333" i="20" l="1"/>
  <c r="J365" i="20"/>
  <c r="J337" i="20"/>
  <c r="J445" i="20" l="1"/>
  <c r="J161" i="20" l="1"/>
  <c r="J453" i="20" l="1"/>
  <c r="J450" i="20" s="1"/>
  <c r="K453" i="20"/>
  <c r="J440" i="20"/>
  <c r="J439" i="20" s="1"/>
  <c r="K440" i="20"/>
  <c r="K439" i="20" s="1"/>
  <c r="J405" i="20"/>
  <c r="J404" i="20" s="1"/>
  <c r="K405" i="20"/>
  <c r="K404" i="20" s="1"/>
  <c r="J400" i="20"/>
  <c r="K400" i="20"/>
  <c r="J382" i="20"/>
  <c r="J373" i="20" s="1"/>
  <c r="K382" i="20"/>
  <c r="K373" i="20"/>
  <c r="J364" i="20"/>
  <c r="J363" i="20" s="1"/>
  <c r="K364" i="20"/>
  <c r="K363" i="20" s="1"/>
  <c r="J344" i="20"/>
  <c r="J342" i="20" s="1"/>
  <c r="K344" i="20"/>
  <c r="K342" i="20" s="1"/>
  <c r="J332" i="20"/>
  <c r="J331" i="20" s="1"/>
  <c r="K332" i="20"/>
  <c r="K331" i="20" s="1"/>
  <c r="J307" i="20"/>
  <c r="K307" i="20"/>
  <c r="K297" i="20"/>
  <c r="J298" i="20"/>
  <c r="J297" i="20" s="1"/>
  <c r="K298" i="20"/>
  <c r="J278" i="20"/>
  <c r="J276" i="20" s="1"/>
  <c r="K278" i="20"/>
  <c r="J266" i="20"/>
  <c r="J265" i="20" s="1"/>
  <c r="J264" i="20" s="1"/>
  <c r="K266" i="20"/>
  <c r="K265" i="20" s="1"/>
  <c r="J251" i="20"/>
  <c r="K251" i="20"/>
  <c r="J241" i="20"/>
  <c r="J240" i="20" s="1"/>
  <c r="K241" i="20"/>
  <c r="K240" i="20" s="1"/>
  <c r="J212" i="20"/>
  <c r="J210" i="20" s="1"/>
  <c r="K212" i="20"/>
  <c r="K210" i="20" s="1"/>
  <c r="J199" i="20"/>
  <c r="J198" i="20" s="1"/>
  <c r="K199" i="20"/>
  <c r="K198" i="20" s="1"/>
  <c r="J189" i="20"/>
  <c r="J190" i="20"/>
  <c r="K190" i="20"/>
  <c r="K189" i="20" s="1"/>
  <c r="K185" i="20"/>
  <c r="J186" i="20"/>
  <c r="K186" i="20"/>
  <c r="J169" i="20"/>
  <c r="J167" i="20" s="1"/>
  <c r="K169" i="20"/>
  <c r="K167" i="20" s="1"/>
  <c r="J157" i="20"/>
  <c r="J156" i="20" s="1"/>
  <c r="K157" i="20"/>
  <c r="K156" i="20" s="1"/>
  <c r="J141" i="20"/>
  <c r="K141" i="20"/>
  <c r="J139" i="20"/>
  <c r="K139" i="20"/>
  <c r="K138" i="20" s="1"/>
  <c r="J104" i="20"/>
  <c r="K104" i="20"/>
  <c r="K90" i="20"/>
  <c r="J91" i="20"/>
  <c r="J90" i="20" s="1"/>
  <c r="K91" i="20"/>
  <c r="J475" i="20"/>
  <c r="K475" i="20"/>
  <c r="J458" i="20"/>
  <c r="K458" i="20"/>
  <c r="K450" i="20"/>
  <c r="K276" i="20"/>
  <c r="J179" i="20"/>
  <c r="K179" i="20"/>
  <c r="J177" i="20"/>
  <c r="K177" i="20"/>
  <c r="J174" i="20"/>
  <c r="K174" i="20"/>
  <c r="J135" i="20"/>
  <c r="K135" i="20"/>
  <c r="J133" i="20"/>
  <c r="K133" i="20"/>
  <c r="J129" i="20"/>
  <c r="K129" i="20"/>
  <c r="J126" i="20"/>
  <c r="K126" i="20"/>
  <c r="J138" i="20" l="1"/>
  <c r="K166" i="20"/>
  <c r="J185" i="20"/>
  <c r="J166" i="20"/>
  <c r="K449" i="20"/>
  <c r="J449" i="20"/>
  <c r="I251" i="20" l="1"/>
  <c r="I278" i="20"/>
  <c r="I276" i="20" s="1"/>
  <c r="I266" i="20"/>
  <c r="I265" i="20" s="1"/>
  <c r="I344" i="20"/>
  <c r="I420" i="20"/>
  <c r="I417" i="20" s="1"/>
  <c r="I458" i="20"/>
  <c r="I405" i="20"/>
  <c r="I404" i="20"/>
  <c r="J431" i="20"/>
  <c r="K431" i="20"/>
  <c r="I431" i="20"/>
  <c r="I415" i="20" l="1"/>
  <c r="J394" i="20" l="1"/>
  <c r="J372" i="20" s="1"/>
  <c r="K394" i="20"/>
  <c r="K372" i="20" s="1"/>
  <c r="I394" i="20"/>
  <c r="I364" i="20"/>
  <c r="K352" i="20"/>
  <c r="K341" i="20" s="1"/>
  <c r="J355" i="20"/>
  <c r="K355" i="20"/>
  <c r="I355" i="20"/>
  <c r="I342" i="20"/>
  <c r="I307" i="20"/>
  <c r="J323" i="20"/>
  <c r="K323" i="20"/>
  <c r="I323" i="20"/>
  <c r="J290" i="20"/>
  <c r="K290" i="20"/>
  <c r="I290" i="20"/>
  <c r="I212" i="20"/>
  <c r="I210" i="20" s="1"/>
  <c r="I199" i="20"/>
  <c r="I198" i="20" s="1"/>
  <c r="J229" i="20"/>
  <c r="K229" i="20"/>
  <c r="I229" i="20"/>
  <c r="J260" i="20"/>
  <c r="J250" i="20" s="1"/>
  <c r="J32" i="20" s="1"/>
  <c r="K260" i="20"/>
  <c r="K250" i="20" s="1"/>
  <c r="K32" i="20" s="1"/>
  <c r="I260" i="20"/>
  <c r="I250" i="20" s="1"/>
  <c r="J232" i="20"/>
  <c r="K232" i="20"/>
  <c r="I232" i="20"/>
  <c r="I179" i="20"/>
  <c r="I129" i="20"/>
  <c r="I133" i="20"/>
  <c r="J341" i="20" l="1"/>
  <c r="I341" i="20"/>
  <c r="I444" i="20" l="1"/>
  <c r="I441" i="20"/>
  <c r="I440" i="20" s="1"/>
  <c r="I409" i="20"/>
  <c r="I406" i="20"/>
  <c r="I365" i="20"/>
  <c r="I336" i="20"/>
  <c r="I332" i="20" s="1"/>
  <c r="I333" i="20"/>
  <c r="I302" i="20"/>
  <c r="I299" i="20"/>
  <c r="I298" i="20" s="1"/>
  <c r="I270" i="20"/>
  <c r="I267" i="20"/>
  <c r="I245" i="20" l="1"/>
  <c r="I242" i="20"/>
  <c r="I203" i="20"/>
  <c r="I200" i="20"/>
  <c r="I161" i="20"/>
  <c r="I158" i="20"/>
  <c r="I157" i="20" s="1"/>
  <c r="I92" i="20" l="1"/>
  <c r="I91" i="20" s="1"/>
  <c r="J515" i="20" l="1"/>
  <c r="J514" i="20" s="1"/>
  <c r="K515" i="20"/>
  <c r="K514" i="20" s="1"/>
  <c r="I515" i="20"/>
  <c r="I514" i="20" s="1"/>
  <c r="J485" i="20"/>
  <c r="J38" i="20" s="1"/>
  <c r="J36" i="20" s="1"/>
  <c r="K485" i="20"/>
  <c r="K38" i="20" s="1"/>
  <c r="K36" i="20" s="1"/>
  <c r="J483" i="20"/>
  <c r="J35" i="20" s="1"/>
  <c r="K483" i="20"/>
  <c r="K35" i="20" s="1"/>
  <c r="I485" i="20"/>
  <c r="I483" i="20"/>
  <c r="I482" i="20" l="1"/>
  <c r="K482" i="20"/>
  <c r="K474" i="20" s="1"/>
  <c r="J482" i="20"/>
  <c r="J474" i="20" s="1"/>
  <c r="I504" i="20"/>
  <c r="I454" i="20"/>
  <c r="J448" i="20"/>
  <c r="I448" i="20"/>
  <c r="I421" i="20"/>
  <c r="I419" i="20"/>
  <c r="J413" i="20"/>
  <c r="I413" i="20"/>
  <c r="I385" i="20"/>
  <c r="I384" i="20"/>
  <c r="I381" i="20"/>
  <c r="I377" i="20"/>
  <c r="I348" i="20"/>
  <c r="I346" i="20"/>
  <c r="I340" i="20"/>
  <c r="I327" i="20"/>
  <c r="J320" i="20"/>
  <c r="J306" i="20" s="1"/>
  <c r="K320" i="20"/>
  <c r="K306" i="20" s="1"/>
  <c r="I320" i="20"/>
  <c r="I306" i="20" s="1"/>
  <c r="I313" i="20"/>
  <c r="I310" i="20"/>
  <c r="I309" i="20"/>
  <c r="I308" i="20"/>
  <c r="I305" i="20"/>
  <c r="I282" i="20"/>
  <c r="I281" i="20"/>
  <c r="I274" i="20"/>
  <c r="I256" i="20"/>
  <c r="I249" i="20"/>
  <c r="I216" i="20"/>
  <c r="I98" i="20"/>
  <c r="I146" i="20"/>
  <c r="I145" i="20"/>
  <c r="I140" i="20"/>
  <c r="I117" i="20"/>
  <c r="I116" i="20"/>
  <c r="I115" i="20"/>
  <c r="I114" i="20"/>
  <c r="I112" i="20"/>
  <c r="I111" i="20"/>
  <c r="I108" i="20"/>
  <c r="I103" i="20"/>
  <c r="I331" i="20" l="1"/>
  <c r="I473" i="20" l="1"/>
  <c r="I470" i="20"/>
  <c r="I371" i="20" l="1"/>
  <c r="I241" i="20" l="1"/>
  <c r="I240" i="20" s="1"/>
  <c r="I187" i="20" l="1"/>
  <c r="J420" i="20" l="1"/>
  <c r="J417" i="20" s="1"/>
  <c r="J415" i="20" s="1"/>
  <c r="K420" i="20"/>
  <c r="K417" i="20" s="1"/>
  <c r="K415" i="20" s="1"/>
  <c r="K73" i="24" l="1"/>
  <c r="AB60" i="24"/>
  <c r="AA60" i="24"/>
  <c r="Z60" i="24"/>
  <c r="Y60" i="24"/>
  <c r="X60" i="24"/>
  <c r="W60" i="24"/>
  <c r="V60" i="24"/>
  <c r="U60" i="24"/>
  <c r="I59" i="24"/>
  <c r="J58" i="24"/>
  <c r="I58" i="24"/>
  <c r="AB57" i="24"/>
  <c r="AA57" i="24"/>
  <c r="Z57" i="24"/>
  <c r="Y57" i="24"/>
  <c r="X57" i="24"/>
  <c r="W57" i="24"/>
  <c r="V57" i="24"/>
  <c r="U57" i="24"/>
  <c r="K56" i="24"/>
  <c r="K55" i="24"/>
  <c r="AB54" i="24"/>
  <c r="AA54" i="24"/>
  <c r="Z54" i="24"/>
  <c r="Y54" i="24"/>
  <c r="X54" i="24"/>
  <c r="W54" i="24"/>
  <c r="V54" i="24"/>
  <c r="U54" i="24"/>
  <c r="AB51" i="24"/>
  <c r="AA51" i="24"/>
  <c r="Z51" i="24"/>
  <c r="Y51" i="24"/>
  <c r="X51" i="24"/>
  <c r="W51" i="24"/>
  <c r="V51" i="24"/>
  <c r="U51" i="24"/>
  <c r="AB48" i="24"/>
  <c r="AA48" i="24"/>
  <c r="Z48" i="24"/>
  <c r="Y48" i="24"/>
  <c r="X48" i="24"/>
  <c r="W48" i="24"/>
  <c r="V48" i="24"/>
  <c r="U48" i="24"/>
  <c r="I40" i="24"/>
  <c r="I39" i="24"/>
  <c r="AB38" i="24"/>
  <c r="AA38" i="24"/>
  <c r="Z38" i="24"/>
  <c r="Y38" i="24"/>
  <c r="X38" i="24"/>
  <c r="W38" i="24"/>
  <c r="V38" i="24"/>
  <c r="U38" i="24"/>
  <c r="K37" i="24"/>
  <c r="K36" i="24"/>
  <c r="I36" i="24"/>
  <c r="AB32" i="24"/>
  <c r="AB29" i="24" s="1"/>
  <c r="AA32" i="24"/>
  <c r="AA29" i="24" s="1"/>
  <c r="Z32" i="24"/>
  <c r="Z29" i="24" s="1"/>
  <c r="Y32" i="24"/>
  <c r="Y29" i="24" s="1"/>
  <c r="X32" i="24"/>
  <c r="X29" i="24" s="1"/>
  <c r="W32" i="24"/>
  <c r="W29" i="24" s="1"/>
  <c r="U32" i="24"/>
  <c r="U29" i="24" s="1"/>
  <c r="AB18" i="24"/>
  <c r="AA18" i="24"/>
  <c r="Z18" i="24"/>
  <c r="Y18" i="24"/>
  <c r="X18" i="24"/>
  <c r="W18" i="24"/>
  <c r="U18" i="24"/>
  <c r="AB16" i="24"/>
  <c r="AA16" i="24"/>
  <c r="AA15" i="24" s="1"/>
  <c r="Z16" i="24"/>
  <c r="Y16" i="24"/>
  <c r="X16" i="24"/>
  <c r="W16" i="24"/>
  <c r="U16" i="24"/>
  <c r="U15" i="24" l="1"/>
  <c r="Z15" i="24"/>
  <c r="U37" i="24"/>
  <c r="U36" i="24" s="1"/>
  <c r="X15" i="24"/>
  <c r="Y37" i="24"/>
  <c r="Y36" i="24" s="1"/>
  <c r="V37" i="24"/>
  <c r="V36" i="24" s="1"/>
  <c r="Z37" i="24"/>
  <c r="Z36" i="24" s="1"/>
  <c r="W15" i="24"/>
  <c r="AB15" i="24"/>
  <c r="Y15" i="24"/>
  <c r="X37" i="24"/>
  <c r="X36" i="24" s="1"/>
  <c r="AB37" i="24"/>
  <c r="AB36" i="24" s="1"/>
  <c r="W37" i="24"/>
  <c r="W36" i="24" s="1"/>
  <c r="AA37" i="24"/>
  <c r="AA36" i="24" s="1"/>
  <c r="L37" i="20"/>
  <c r="M37" i="20"/>
  <c r="L40" i="20"/>
  <c r="M40" i="20"/>
  <c r="L43" i="20"/>
  <c r="M43" i="20"/>
  <c r="L46" i="20"/>
  <c r="M46" i="20"/>
  <c r="L49" i="20"/>
  <c r="M49" i="20"/>
  <c r="L53" i="20"/>
  <c r="M53" i="20"/>
  <c r="L57" i="20"/>
  <c r="M57" i="20"/>
  <c r="L60" i="20"/>
  <c r="M60" i="20"/>
  <c r="L65" i="20"/>
  <c r="M65" i="20"/>
  <c r="L66" i="20"/>
  <c r="M66" i="20"/>
  <c r="L69" i="20"/>
  <c r="M69" i="20"/>
  <c r="L71" i="20"/>
  <c r="M71" i="20"/>
  <c r="L72" i="20"/>
  <c r="M72" i="20"/>
  <c r="L74" i="20"/>
  <c r="M74" i="20"/>
  <c r="L75" i="20"/>
  <c r="M75" i="20"/>
  <c r="L92" i="20"/>
  <c r="M92" i="20"/>
  <c r="L96" i="20"/>
  <c r="M96" i="20"/>
  <c r="L97" i="20"/>
  <c r="M97" i="20"/>
  <c r="L98" i="20"/>
  <c r="M98" i="20"/>
  <c r="L100" i="20"/>
  <c r="M100" i="20"/>
  <c r="L103" i="20"/>
  <c r="M103" i="20"/>
  <c r="L105" i="20"/>
  <c r="M105" i="20"/>
  <c r="L106" i="20"/>
  <c r="M106" i="20"/>
  <c r="L107" i="20"/>
  <c r="M107" i="20"/>
  <c r="L108" i="20"/>
  <c r="M108" i="20"/>
  <c r="L109" i="20"/>
  <c r="M109" i="20"/>
  <c r="L110" i="20"/>
  <c r="M110" i="20"/>
  <c r="L111" i="20"/>
  <c r="M111" i="20"/>
  <c r="L112" i="20"/>
  <c r="M112" i="20"/>
  <c r="L113" i="20"/>
  <c r="M113" i="20"/>
  <c r="L114" i="20"/>
  <c r="M114" i="20"/>
  <c r="L115" i="20"/>
  <c r="M115" i="20"/>
  <c r="L116" i="20"/>
  <c r="M116" i="20"/>
  <c r="L117" i="20"/>
  <c r="M117" i="20"/>
  <c r="L118" i="20"/>
  <c r="M118" i="20"/>
  <c r="L119" i="20"/>
  <c r="M119" i="20"/>
  <c r="L120" i="20"/>
  <c r="M120" i="20"/>
  <c r="L121" i="20"/>
  <c r="M121" i="20"/>
  <c r="L124" i="20"/>
  <c r="M124" i="20"/>
  <c r="L125" i="20"/>
  <c r="M125" i="20"/>
  <c r="L127" i="20"/>
  <c r="M127" i="20"/>
  <c r="L128" i="20"/>
  <c r="M128" i="20"/>
  <c r="L130" i="20"/>
  <c r="M130" i="20"/>
  <c r="L136" i="20"/>
  <c r="M136" i="20"/>
  <c r="L137" i="20"/>
  <c r="M137" i="20"/>
  <c r="L140" i="20"/>
  <c r="M140" i="20"/>
  <c r="L142" i="20"/>
  <c r="M142" i="20"/>
  <c r="L145" i="20"/>
  <c r="M145" i="20"/>
  <c r="L146" i="20"/>
  <c r="M146" i="20"/>
  <c r="L149" i="20"/>
  <c r="M149" i="20"/>
  <c r="L152" i="20"/>
  <c r="M152" i="20"/>
  <c r="L158" i="20"/>
  <c r="M158" i="20"/>
  <c r="L162" i="20"/>
  <c r="M162" i="20"/>
  <c r="L163" i="20"/>
  <c r="M163" i="20"/>
  <c r="L165" i="20"/>
  <c r="M165" i="20"/>
  <c r="L168" i="20"/>
  <c r="M168" i="20"/>
  <c r="L170" i="20"/>
  <c r="M170" i="20"/>
  <c r="L171" i="20"/>
  <c r="M171" i="20"/>
  <c r="L172" i="20"/>
  <c r="M172" i="20"/>
  <c r="L173" i="20"/>
  <c r="M173" i="20"/>
  <c r="L175" i="20"/>
  <c r="M175" i="20"/>
  <c r="L176" i="20"/>
  <c r="M176" i="20"/>
  <c r="L178" i="20"/>
  <c r="M178" i="20"/>
  <c r="L182" i="20"/>
  <c r="M182" i="20"/>
  <c r="L183" i="20"/>
  <c r="M183" i="20"/>
  <c r="L184" i="20"/>
  <c r="M184" i="20"/>
  <c r="L187" i="20"/>
  <c r="M187" i="20"/>
  <c r="L188" i="20"/>
  <c r="M188" i="20"/>
  <c r="L191" i="20"/>
  <c r="M191" i="20"/>
  <c r="L192" i="20"/>
  <c r="M192" i="20"/>
  <c r="L194" i="20"/>
  <c r="M194" i="20"/>
  <c r="L200" i="20"/>
  <c r="M200" i="20"/>
  <c r="L204" i="20"/>
  <c r="M204" i="20"/>
  <c r="L205" i="20"/>
  <c r="M205" i="20"/>
  <c r="L206" i="20"/>
  <c r="M206" i="20"/>
  <c r="L208" i="20"/>
  <c r="M208" i="20"/>
  <c r="L211" i="20"/>
  <c r="M211" i="20"/>
  <c r="L213" i="20"/>
  <c r="M213" i="20"/>
  <c r="L214" i="20"/>
  <c r="M214" i="20"/>
  <c r="L215" i="20"/>
  <c r="M215" i="20"/>
  <c r="L216" i="20"/>
  <c r="M216" i="20"/>
  <c r="L217" i="20"/>
  <c r="M217" i="20"/>
  <c r="L218" i="20"/>
  <c r="M218" i="20"/>
  <c r="L219" i="20"/>
  <c r="M219" i="20"/>
  <c r="L220" i="20"/>
  <c r="M220" i="20"/>
  <c r="L221" i="20"/>
  <c r="M221" i="20"/>
  <c r="L223" i="20"/>
  <c r="M223" i="20"/>
  <c r="L224" i="20"/>
  <c r="M224" i="20"/>
  <c r="L225" i="20"/>
  <c r="M225" i="20"/>
  <c r="L228" i="20"/>
  <c r="M228" i="20"/>
  <c r="L235" i="20"/>
  <c r="M235" i="20"/>
  <c r="L236" i="20"/>
  <c r="M236" i="20"/>
  <c r="L237" i="20"/>
  <c r="M237" i="20"/>
  <c r="L242" i="20"/>
  <c r="M242" i="20"/>
  <c r="L246" i="20"/>
  <c r="M246" i="20"/>
  <c r="L247" i="20"/>
  <c r="M247" i="20"/>
  <c r="L249" i="20"/>
  <c r="M249" i="20"/>
  <c r="L252" i="20"/>
  <c r="M252" i="20"/>
  <c r="L253" i="20"/>
  <c r="M253" i="20"/>
  <c r="L254" i="20"/>
  <c r="M254" i="20"/>
  <c r="L255" i="20"/>
  <c r="M255" i="20"/>
  <c r="L256" i="20"/>
  <c r="M256" i="20"/>
  <c r="L257" i="20"/>
  <c r="M257" i="20"/>
  <c r="L258" i="20"/>
  <c r="M258" i="20"/>
  <c r="L259" i="20"/>
  <c r="M259" i="20"/>
  <c r="L267" i="20"/>
  <c r="M267" i="20"/>
  <c r="L271" i="20"/>
  <c r="M271" i="20"/>
  <c r="L272" i="20"/>
  <c r="M272" i="20"/>
  <c r="L274" i="20"/>
  <c r="M274" i="20"/>
  <c r="L277" i="20"/>
  <c r="M277" i="20"/>
  <c r="L279" i="20"/>
  <c r="M279" i="20"/>
  <c r="L280" i="20"/>
  <c r="M280" i="20"/>
  <c r="L281" i="20"/>
  <c r="M281" i="20"/>
  <c r="L282" i="20"/>
  <c r="M282" i="20"/>
  <c r="L283" i="20"/>
  <c r="M283" i="20"/>
  <c r="L284" i="20"/>
  <c r="M284" i="20"/>
  <c r="L285" i="20"/>
  <c r="M285" i="20"/>
  <c r="L286" i="20"/>
  <c r="M286" i="20"/>
  <c r="L289" i="20"/>
  <c r="M289" i="20"/>
  <c r="L293" i="20"/>
  <c r="M293" i="20"/>
  <c r="L294" i="20"/>
  <c r="M294" i="20"/>
  <c r="L299" i="20"/>
  <c r="M299" i="20"/>
  <c r="L303" i="20"/>
  <c r="M303" i="20"/>
  <c r="L305" i="20"/>
  <c r="M305" i="20"/>
  <c r="L308" i="20"/>
  <c r="M308" i="20"/>
  <c r="L309" i="20"/>
  <c r="M309" i="20"/>
  <c r="L310" i="20"/>
  <c r="M310" i="20"/>
  <c r="L311" i="20"/>
  <c r="M311" i="20"/>
  <c r="L312" i="20"/>
  <c r="M312" i="20"/>
  <c r="L313" i="20"/>
  <c r="M313" i="20"/>
  <c r="L316" i="20"/>
  <c r="M316" i="20"/>
  <c r="L317" i="20"/>
  <c r="M317" i="20"/>
  <c r="L318" i="20"/>
  <c r="M318" i="20"/>
  <c r="L319" i="20"/>
  <c r="M319" i="20"/>
  <c r="L321" i="20"/>
  <c r="M321" i="20"/>
  <c r="L327" i="20"/>
  <c r="M327" i="20"/>
  <c r="L333" i="20"/>
  <c r="M333" i="20"/>
  <c r="L337" i="20"/>
  <c r="M337" i="20"/>
  <c r="L338" i="20"/>
  <c r="M338" i="20"/>
  <c r="L340" i="20"/>
  <c r="M340" i="20"/>
  <c r="L343" i="20"/>
  <c r="M343" i="20"/>
  <c r="L345" i="20"/>
  <c r="M345" i="20"/>
  <c r="L346" i="20"/>
  <c r="M346" i="20"/>
  <c r="L347" i="20"/>
  <c r="M347" i="20"/>
  <c r="L348" i="20"/>
  <c r="M348" i="20"/>
  <c r="L349" i="20"/>
  <c r="M349" i="20"/>
  <c r="L350" i="20"/>
  <c r="M350" i="20"/>
  <c r="L351" i="20"/>
  <c r="M351" i="20"/>
  <c r="L358" i="20"/>
  <c r="M358" i="20"/>
  <c r="L359" i="20"/>
  <c r="M359" i="20"/>
  <c r="L360" i="20"/>
  <c r="M360" i="20"/>
  <c r="L365" i="20"/>
  <c r="M365" i="20"/>
  <c r="L369" i="20"/>
  <c r="M369" i="20"/>
  <c r="L371" i="20"/>
  <c r="M371" i="20"/>
  <c r="L374" i="20"/>
  <c r="M374" i="20"/>
  <c r="L375" i="20"/>
  <c r="M375" i="20"/>
  <c r="L376" i="20"/>
  <c r="M376" i="20"/>
  <c r="L377" i="20"/>
  <c r="M377" i="20"/>
  <c r="L378" i="20"/>
  <c r="M378" i="20"/>
  <c r="L379" i="20"/>
  <c r="M379" i="20"/>
  <c r="L380" i="20"/>
  <c r="M380" i="20"/>
  <c r="L381" i="20"/>
  <c r="M381" i="20"/>
  <c r="L383" i="20"/>
  <c r="M383" i="20"/>
  <c r="L384" i="20"/>
  <c r="M384" i="20"/>
  <c r="L385" i="20"/>
  <c r="M385" i="20"/>
  <c r="L386" i="20"/>
  <c r="M386" i="20"/>
  <c r="L387" i="20"/>
  <c r="M387" i="20"/>
  <c r="L388" i="20"/>
  <c r="M388" i="20"/>
  <c r="L389" i="20"/>
  <c r="M389" i="20"/>
  <c r="L390" i="20"/>
  <c r="M390" i="20"/>
  <c r="L391" i="20"/>
  <c r="M391" i="20"/>
  <c r="L392" i="20"/>
  <c r="M392" i="20"/>
  <c r="L398" i="20"/>
  <c r="M398" i="20"/>
  <c r="L401" i="20"/>
  <c r="M401" i="20"/>
  <c r="L406" i="20"/>
  <c r="M406" i="20"/>
  <c r="L410" i="20"/>
  <c r="M410" i="20"/>
  <c r="L411" i="20"/>
  <c r="M411" i="20"/>
  <c r="L413" i="20"/>
  <c r="M413" i="20"/>
  <c r="L416" i="20"/>
  <c r="M416" i="20"/>
  <c r="L418" i="20"/>
  <c r="M418" i="20"/>
  <c r="L419" i="20"/>
  <c r="M419" i="20"/>
  <c r="L421" i="20"/>
  <c r="M421" i="20"/>
  <c r="L422" i="20"/>
  <c r="M422" i="20"/>
  <c r="L423" i="20"/>
  <c r="M423" i="20"/>
  <c r="L424" i="20"/>
  <c r="M424" i="20"/>
  <c r="L425" i="20"/>
  <c r="M425" i="20"/>
  <c r="L426" i="20"/>
  <c r="M426" i="20"/>
  <c r="L428" i="20"/>
  <c r="M428" i="20"/>
  <c r="L430" i="20"/>
  <c r="M430" i="20"/>
  <c r="L434" i="20"/>
  <c r="M434" i="20"/>
  <c r="L435" i="20"/>
  <c r="M435" i="20"/>
  <c r="L441" i="20"/>
  <c r="M441" i="20"/>
  <c r="L445" i="20"/>
  <c r="M445" i="20"/>
  <c r="L446" i="20"/>
  <c r="M446" i="20"/>
  <c r="L448" i="20"/>
  <c r="M448" i="20"/>
  <c r="L451" i="20"/>
  <c r="M451" i="20"/>
  <c r="L452" i="20"/>
  <c r="M452" i="20"/>
  <c r="L454" i="20"/>
  <c r="M454" i="20"/>
  <c r="L455" i="20"/>
  <c r="M455" i="20"/>
  <c r="L456" i="20"/>
  <c r="M456" i="20"/>
  <c r="L461" i="20"/>
  <c r="M461" i="20"/>
  <c r="L462" i="20"/>
  <c r="M462" i="20"/>
  <c r="L465" i="20"/>
  <c r="M465" i="20"/>
  <c r="L470" i="20"/>
  <c r="M470" i="20"/>
  <c r="L471" i="20"/>
  <c r="M471" i="20"/>
  <c r="L473" i="20"/>
  <c r="M473" i="20"/>
  <c r="L476" i="20"/>
  <c r="M476" i="20"/>
  <c r="L477" i="20"/>
  <c r="M477" i="20"/>
  <c r="L478" i="20"/>
  <c r="M478" i="20"/>
  <c r="L479" i="20"/>
  <c r="M479" i="20"/>
  <c r="L480" i="20"/>
  <c r="M480" i="20"/>
  <c r="L481" i="20"/>
  <c r="M481" i="20"/>
  <c r="L488" i="20"/>
  <c r="M488" i="20"/>
  <c r="L489" i="20"/>
  <c r="M489" i="20"/>
  <c r="L490" i="20"/>
  <c r="M490" i="20"/>
  <c r="L491" i="20"/>
  <c r="M491" i="20"/>
  <c r="L498" i="20"/>
  <c r="M498" i="20"/>
  <c r="L500" i="20"/>
  <c r="M500" i="20"/>
  <c r="L504" i="20"/>
  <c r="M504" i="20"/>
  <c r="L507" i="20"/>
  <c r="M507" i="20"/>
  <c r="L510" i="20"/>
  <c r="M510" i="20"/>
  <c r="L511" i="20"/>
  <c r="M511" i="20"/>
  <c r="L512" i="20"/>
  <c r="M512" i="20"/>
  <c r="L513" i="20"/>
  <c r="M513" i="20"/>
  <c r="L521" i="20"/>
  <c r="M521" i="20"/>
  <c r="L526" i="20"/>
  <c r="M526" i="20"/>
  <c r="L531" i="20"/>
  <c r="M531" i="20"/>
  <c r="L536" i="20"/>
  <c r="M536" i="20"/>
  <c r="L541" i="20"/>
  <c r="M541" i="20"/>
  <c r="L543" i="20"/>
  <c r="M543" i="20"/>
  <c r="L548" i="20"/>
  <c r="M548" i="20"/>
  <c r="L549" i="20"/>
  <c r="M549" i="20"/>
  <c r="L550" i="20"/>
  <c r="M550" i="20"/>
  <c r="L555" i="20"/>
  <c r="M555" i="20"/>
  <c r="L559" i="20"/>
  <c r="M559" i="20"/>
  <c r="K11" i="20"/>
  <c r="E19" i="24" s="1"/>
  <c r="K12" i="20"/>
  <c r="E20" i="24" s="1"/>
  <c r="E34" i="24" s="1"/>
  <c r="K13" i="20"/>
  <c r="E21" i="24" s="1"/>
  <c r="E35" i="24" s="1"/>
  <c r="K9" i="20"/>
  <c r="E17" i="24" s="1"/>
  <c r="E31" i="24" l="1"/>
  <c r="E30" i="24" s="1"/>
  <c r="E16" i="24"/>
  <c r="E33" i="24"/>
  <c r="E32" i="24" s="1"/>
  <c r="E18" i="24"/>
  <c r="J469" i="20"/>
  <c r="K469" i="20"/>
  <c r="K467" i="20" l="1"/>
  <c r="K468" i="20"/>
  <c r="J468" i="20"/>
  <c r="E15" i="24"/>
  <c r="E29" i="24"/>
  <c r="M469" i="20"/>
  <c r="J123" i="20"/>
  <c r="K558" i="20"/>
  <c r="K557" i="20" s="1"/>
  <c r="K556" i="20" s="1"/>
  <c r="K554" i="20"/>
  <c r="K553" i="20" s="1"/>
  <c r="K552" i="20" s="1"/>
  <c r="K551" i="20" s="1"/>
  <c r="E73" i="24" s="1"/>
  <c r="K547" i="20"/>
  <c r="K546" i="20" s="1"/>
  <c r="K545" i="20" s="1"/>
  <c r="K544" i="20" s="1"/>
  <c r="K542" i="20"/>
  <c r="K540" i="20"/>
  <c r="K539" i="20"/>
  <c r="K535" i="20"/>
  <c r="K534" i="20"/>
  <c r="K533" i="20" s="1"/>
  <c r="K532" i="20" s="1"/>
  <c r="K530" i="20"/>
  <c r="K529" i="20"/>
  <c r="K528" i="20"/>
  <c r="K527" i="20" s="1"/>
  <c r="K525" i="20"/>
  <c r="K524" i="20"/>
  <c r="K523" i="20"/>
  <c r="K522" i="20" s="1"/>
  <c r="K520" i="20"/>
  <c r="K519" i="20"/>
  <c r="K518" i="20" s="1"/>
  <c r="K517" i="20" s="1"/>
  <c r="K509" i="20"/>
  <c r="K508" i="20" s="1"/>
  <c r="K506" i="20"/>
  <c r="K505" i="20" s="1"/>
  <c r="K503" i="20"/>
  <c r="K502" i="20" s="1"/>
  <c r="K499" i="20"/>
  <c r="K497" i="20"/>
  <c r="K496" i="20" s="1"/>
  <c r="K487" i="20"/>
  <c r="K472" i="20"/>
  <c r="K464" i="20"/>
  <c r="K460" i="20"/>
  <c r="K447" i="20"/>
  <c r="K438" i="20" s="1"/>
  <c r="K437" i="20" s="1"/>
  <c r="K436" i="20" s="1"/>
  <c r="K433" i="20"/>
  <c r="K429" i="20"/>
  <c r="K427" i="20"/>
  <c r="K414" i="20" s="1"/>
  <c r="K29" i="20" s="1"/>
  <c r="K412" i="20"/>
  <c r="K403" i="20" s="1"/>
  <c r="K402" i="20" s="1"/>
  <c r="K399" i="20" s="1"/>
  <c r="K397" i="20"/>
  <c r="K396" i="20" s="1"/>
  <c r="K370" i="20"/>
  <c r="K362" i="20" s="1"/>
  <c r="K361" i="20" s="1"/>
  <c r="K357" i="20"/>
  <c r="K339" i="20"/>
  <c r="K330" i="20" s="1"/>
  <c r="K329" i="20" s="1"/>
  <c r="K328" i="20" s="1"/>
  <c r="K326" i="20"/>
  <c r="K325" i="20" s="1"/>
  <c r="K304" i="20"/>
  <c r="K296" i="20" s="1"/>
  <c r="K292" i="20"/>
  <c r="K288" i="20"/>
  <c r="K275" i="20" s="1"/>
  <c r="K273" i="20"/>
  <c r="K264" i="20" s="1"/>
  <c r="K248" i="20"/>
  <c r="K239" i="20" s="1"/>
  <c r="K234" i="20"/>
  <c r="K227" i="20"/>
  <c r="K209" i="20" s="1"/>
  <c r="K207" i="20"/>
  <c r="K197" i="20" s="1"/>
  <c r="K193" i="20"/>
  <c r="K181" i="20"/>
  <c r="K164" i="20"/>
  <c r="K155" i="20" s="1"/>
  <c r="K154" i="20" s="1"/>
  <c r="K153" i="20" s="1"/>
  <c r="K151" i="20"/>
  <c r="K150" i="20" s="1"/>
  <c r="K148" i="20"/>
  <c r="K147" i="20" s="1"/>
  <c r="K144" i="20" s="1"/>
  <c r="K143" i="20" s="1"/>
  <c r="K123" i="20"/>
  <c r="K122" i="20" s="1"/>
  <c r="K102" i="20" s="1"/>
  <c r="K101" i="20" s="1"/>
  <c r="K99" i="20"/>
  <c r="K89" i="20" s="1"/>
  <c r="K24" i="20" s="1"/>
  <c r="K83" i="20"/>
  <c r="K82" i="20" s="1"/>
  <c r="K81" i="20"/>
  <c r="K80" i="20"/>
  <c r="K78" i="20"/>
  <c r="K77" i="20" s="1"/>
  <c r="K73" i="20"/>
  <c r="K70" i="20"/>
  <c r="K68" i="20"/>
  <c r="K20" i="20"/>
  <c r="K19" i="20"/>
  <c r="K16" i="20"/>
  <c r="K15" i="20" s="1"/>
  <c r="K18" i="20"/>
  <c r="K8" i="20"/>
  <c r="J558" i="20"/>
  <c r="J554" i="20"/>
  <c r="J547" i="20"/>
  <c r="J542" i="20"/>
  <c r="J540" i="20"/>
  <c r="J539" i="20"/>
  <c r="J535" i="20"/>
  <c r="J534" i="20"/>
  <c r="J530" i="20"/>
  <c r="J529" i="20"/>
  <c r="J528" i="20"/>
  <c r="J525" i="20"/>
  <c r="J524" i="20"/>
  <c r="J523" i="20"/>
  <c r="J520" i="20"/>
  <c r="J519" i="20"/>
  <c r="J518" i="20" s="1"/>
  <c r="J509" i="20"/>
  <c r="J506" i="20"/>
  <c r="J505" i="20" s="1"/>
  <c r="J503" i="20"/>
  <c r="J499" i="20"/>
  <c r="J497" i="20"/>
  <c r="J487" i="20"/>
  <c r="J472" i="20"/>
  <c r="J467" i="20" s="1"/>
  <c r="J34" i="20" s="1"/>
  <c r="J33" i="20" s="1"/>
  <c r="J464" i="20"/>
  <c r="J460" i="20"/>
  <c r="J447" i="20"/>
  <c r="J438" i="20" s="1"/>
  <c r="J437" i="20" s="1"/>
  <c r="J436" i="20" s="1"/>
  <c r="AB438" i="20" s="1"/>
  <c r="J433" i="20"/>
  <c r="J429" i="20"/>
  <c r="J427" i="20"/>
  <c r="J412" i="20"/>
  <c r="J403" i="20" s="1"/>
  <c r="J397" i="20"/>
  <c r="J370" i="20"/>
  <c r="J362" i="20" s="1"/>
  <c r="J361" i="20" s="1"/>
  <c r="J357" i="20"/>
  <c r="J339" i="20"/>
  <c r="J330" i="20" s="1"/>
  <c r="J329" i="20" s="1"/>
  <c r="J326" i="20"/>
  <c r="J304" i="20"/>
  <c r="J296" i="20" s="1"/>
  <c r="J292" i="20"/>
  <c r="J288" i="20"/>
  <c r="J275" i="20" s="1"/>
  <c r="J263" i="20" s="1"/>
  <c r="J248" i="20"/>
  <c r="J239" i="20" s="1"/>
  <c r="J234" i="20"/>
  <c r="J227" i="20"/>
  <c r="J209" i="20" s="1"/>
  <c r="J207" i="20"/>
  <c r="J197" i="20" s="1"/>
  <c r="J193" i="20"/>
  <c r="J181" i="20"/>
  <c r="J50" i="20" s="1"/>
  <c r="J48" i="20" s="1"/>
  <c r="J164" i="20"/>
  <c r="J155" i="20" s="1"/>
  <c r="J154" i="20" s="1"/>
  <c r="J151" i="20"/>
  <c r="J148" i="20"/>
  <c r="J99" i="20"/>
  <c r="J89" i="20" s="1"/>
  <c r="J24" i="20" s="1"/>
  <c r="J83" i="20"/>
  <c r="J81" i="20"/>
  <c r="J80" i="20"/>
  <c r="J78" i="20"/>
  <c r="J73" i="20"/>
  <c r="J70" i="20"/>
  <c r="J68" i="20"/>
  <c r="J13" i="20"/>
  <c r="J12" i="20"/>
  <c r="J11" i="20"/>
  <c r="J9" i="20"/>
  <c r="I558" i="20"/>
  <c r="I557" i="20" s="1"/>
  <c r="I556" i="20" s="1"/>
  <c r="I64" i="20" s="1"/>
  <c r="I63" i="20" s="1"/>
  <c r="I62" i="20" s="1"/>
  <c r="I554" i="20"/>
  <c r="I553" i="20" s="1"/>
  <c r="I552" i="20" s="1"/>
  <c r="I551" i="20" s="1"/>
  <c r="I54" i="20" s="1"/>
  <c r="I52" i="20" s="1"/>
  <c r="C73" i="24" s="1"/>
  <c r="I547" i="20"/>
  <c r="I546" i="20" s="1"/>
  <c r="I545" i="20" s="1"/>
  <c r="I544" i="20" s="1"/>
  <c r="I542" i="20"/>
  <c r="I540" i="20"/>
  <c r="I539" i="20"/>
  <c r="I535" i="20"/>
  <c r="I534" i="20"/>
  <c r="I533" i="20" s="1"/>
  <c r="I532" i="20" s="1"/>
  <c r="I530" i="20"/>
  <c r="I529" i="20"/>
  <c r="I528" i="20"/>
  <c r="I527" i="20" s="1"/>
  <c r="I525" i="20"/>
  <c r="I524" i="20"/>
  <c r="I523" i="20"/>
  <c r="I522" i="20" s="1"/>
  <c r="I520" i="20"/>
  <c r="I519" i="20"/>
  <c r="I518" i="20" s="1"/>
  <c r="I517" i="20" s="1"/>
  <c r="I509" i="20"/>
  <c r="I508" i="20" s="1"/>
  <c r="I506" i="20"/>
  <c r="I505" i="20" s="1"/>
  <c r="I503" i="20"/>
  <c r="I502" i="20" s="1"/>
  <c r="I499" i="20"/>
  <c r="I497" i="20"/>
  <c r="I496" i="20" s="1"/>
  <c r="I487" i="20"/>
  <c r="I475" i="20"/>
  <c r="I474" i="20" s="1"/>
  <c r="I472" i="20"/>
  <c r="I469" i="20"/>
  <c r="I468" i="20" s="1"/>
  <c r="I464" i="20"/>
  <c r="I460" i="20"/>
  <c r="I453" i="20"/>
  <c r="I450" i="20" s="1"/>
  <c r="I449" i="20" s="1"/>
  <c r="I32" i="20" s="1"/>
  <c r="I447" i="20"/>
  <c r="I439" i="20"/>
  <c r="I433" i="20"/>
  <c r="I429" i="20"/>
  <c r="I427" i="20"/>
  <c r="I414" i="20" s="1"/>
  <c r="I402" i="20" s="1"/>
  <c r="I399" i="20" s="1"/>
  <c r="I412" i="20"/>
  <c r="I403" i="20" s="1"/>
  <c r="I400" i="20"/>
  <c r="I397" i="20"/>
  <c r="I396" i="20" s="1"/>
  <c r="I382" i="20"/>
  <c r="I373" i="20" s="1"/>
  <c r="I370" i="20"/>
  <c r="I363" i="20"/>
  <c r="I362" i="20" s="1"/>
  <c r="I357" i="20"/>
  <c r="I339" i="20"/>
  <c r="I330" i="20" s="1"/>
  <c r="I329" i="20" s="1"/>
  <c r="I326" i="20"/>
  <c r="I325" i="20" s="1"/>
  <c r="I304" i="20"/>
  <c r="I297" i="20"/>
  <c r="I296" i="20" s="1"/>
  <c r="I292" i="20"/>
  <c r="I288" i="20"/>
  <c r="I275" i="20" s="1"/>
  <c r="I273" i="20"/>
  <c r="I264" i="20" s="1"/>
  <c r="I248" i="20"/>
  <c r="I239" i="20" s="1"/>
  <c r="I234" i="20"/>
  <c r="I227" i="20"/>
  <c r="I209" i="20" s="1"/>
  <c r="I207" i="20"/>
  <c r="I197" i="20"/>
  <c r="I193" i="20"/>
  <c r="I190" i="20"/>
  <c r="I189" i="20" s="1"/>
  <c r="I186" i="20"/>
  <c r="I185" i="20" s="1"/>
  <c r="I35" i="20" s="1"/>
  <c r="I181" i="20"/>
  <c r="I177" i="20"/>
  <c r="I174" i="20"/>
  <c r="I169" i="20"/>
  <c r="I167" i="20" s="1"/>
  <c r="I164" i="20"/>
  <c r="I156" i="20"/>
  <c r="I155" i="20" s="1"/>
  <c r="I151" i="20"/>
  <c r="I150" i="20" s="1"/>
  <c r="I44" i="20" s="1"/>
  <c r="I42" i="20" s="1"/>
  <c r="C47" i="24" s="1"/>
  <c r="C41" i="24" s="1"/>
  <c r="I148" i="20"/>
  <c r="I147" i="20" s="1"/>
  <c r="I144" i="20" s="1"/>
  <c r="I143" i="20" s="1"/>
  <c r="I47" i="20" s="1"/>
  <c r="I45" i="20" s="1"/>
  <c r="C50" i="24" s="1"/>
  <c r="C48" i="24" s="1"/>
  <c r="I141" i="20"/>
  <c r="I38" i="20" s="1"/>
  <c r="I139" i="20"/>
  <c r="I135" i="20"/>
  <c r="I126" i="20"/>
  <c r="I123" i="20"/>
  <c r="I122" i="20" s="1"/>
  <c r="I104" i="20"/>
  <c r="I99" i="20"/>
  <c r="I90" i="20"/>
  <c r="I89" i="20" s="1"/>
  <c r="I83" i="20"/>
  <c r="I82" i="20" s="1"/>
  <c r="I81" i="20"/>
  <c r="I80" i="20"/>
  <c r="I78" i="20"/>
  <c r="I77" i="20" s="1"/>
  <c r="I73" i="20"/>
  <c r="I70" i="20"/>
  <c r="I68" i="20"/>
  <c r="I13" i="20"/>
  <c r="C21" i="24" s="1"/>
  <c r="C35" i="24" s="1"/>
  <c r="I12" i="20"/>
  <c r="I11" i="20"/>
  <c r="C19" i="24" s="1"/>
  <c r="I9" i="20"/>
  <c r="C17" i="24" s="1"/>
  <c r="I154" i="20" l="1"/>
  <c r="I153" i="20" s="1"/>
  <c r="AA153" i="20" s="1"/>
  <c r="AA400" i="20"/>
  <c r="AB400" i="20"/>
  <c r="I196" i="20"/>
  <c r="I28" i="20"/>
  <c r="I295" i="20"/>
  <c r="J31" i="20"/>
  <c r="J30" i="20" s="1"/>
  <c r="J238" i="20"/>
  <c r="I24" i="20"/>
  <c r="I166" i="20"/>
  <c r="K31" i="20"/>
  <c r="K30" i="20" s="1"/>
  <c r="K238" i="20"/>
  <c r="K28" i="20"/>
  <c r="K295" i="20"/>
  <c r="I263" i="20"/>
  <c r="J153" i="20"/>
  <c r="J196" i="20"/>
  <c r="J414" i="20"/>
  <c r="J29" i="20" s="1"/>
  <c r="J27" i="20" s="1"/>
  <c r="J26" i="20" s="1"/>
  <c r="K196" i="20"/>
  <c r="K195" i="20" s="1"/>
  <c r="K263" i="20"/>
  <c r="I372" i="20"/>
  <c r="I361" i="20" s="1"/>
  <c r="I328" i="20" s="1"/>
  <c r="J28" i="20"/>
  <c r="J295" i="20"/>
  <c r="I102" i="20"/>
  <c r="I101" i="20" s="1"/>
  <c r="I25" i="20" s="1"/>
  <c r="C40" i="24" s="1"/>
  <c r="I238" i="20"/>
  <c r="K50" i="20"/>
  <c r="K48" i="20" s="1"/>
  <c r="K27" i="20"/>
  <c r="K34" i="20"/>
  <c r="K33" i="20" s="1"/>
  <c r="K466" i="20"/>
  <c r="K463" i="20" s="1"/>
  <c r="K25" i="20"/>
  <c r="K23" i="20" s="1"/>
  <c r="K88" i="20"/>
  <c r="K87" i="20" s="1"/>
  <c r="K47" i="20"/>
  <c r="K45" i="20" s="1"/>
  <c r="E50" i="24" s="1"/>
  <c r="E48" i="24" s="1"/>
  <c r="I41" i="20"/>
  <c r="I262" i="20"/>
  <c r="K44" i="20"/>
  <c r="K42" i="20" s="1"/>
  <c r="E47" i="24" s="1"/>
  <c r="E41" i="24" s="1"/>
  <c r="K41" i="20"/>
  <c r="K39" i="20" s="1"/>
  <c r="K262" i="20"/>
  <c r="J466" i="20"/>
  <c r="J463" i="20" s="1"/>
  <c r="AA469" i="20" s="1"/>
  <c r="I501" i="20"/>
  <c r="K501" i="20"/>
  <c r="I495" i="20"/>
  <c r="I58" i="20" s="1"/>
  <c r="I56" i="20" s="1"/>
  <c r="C75" i="24" s="1"/>
  <c r="I36" i="20"/>
  <c r="I10" i="20"/>
  <c r="I16" i="20"/>
  <c r="I15" i="20" s="1"/>
  <c r="I538" i="20"/>
  <c r="I537" i="20" s="1"/>
  <c r="I20" i="20"/>
  <c r="I438" i="20"/>
  <c r="I8" i="20"/>
  <c r="J79" i="20"/>
  <c r="M400" i="20"/>
  <c r="K495" i="20"/>
  <c r="E75" i="24" s="1"/>
  <c r="K538" i="20"/>
  <c r="K537" i="20" s="1"/>
  <c r="L169" i="20"/>
  <c r="L464" i="20"/>
  <c r="M464" i="20"/>
  <c r="M518" i="20"/>
  <c r="L518" i="20"/>
  <c r="C33" i="24"/>
  <c r="L174" i="20"/>
  <c r="L519" i="20"/>
  <c r="M519" i="20"/>
  <c r="J538" i="20"/>
  <c r="L539" i="20"/>
  <c r="M539" i="20"/>
  <c r="I19" i="20"/>
  <c r="C20" i="24"/>
  <c r="C34" i="24" s="1"/>
  <c r="L126" i="20"/>
  <c r="L177" i="20"/>
  <c r="M177" i="20"/>
  <c r="L193" i="20"/>
  <c r="M193" i="20"/>
  <c r="M288" i="20"/>
  <c r="L288" i="20"/>
  <c r="L400" i="20"/>
  <c r="M429" i="20"/>
  <c r="L429" i="20"/>
  <c r="M499" i="20"/>
  <c r="L499" i="20"/>
  <c r="M520" i="20"/>
  <c r="L520" i="20"/>
  <c r="L525" i="20"/>
  <c r="M525" i="20"/>
  <c r="M530" i="20"/>
  <c r="L530" i="20"/>
  <c r="M540" i="20"/>
  <c r="L540" i="20"/>
  <c r="J557" i="20"/>
  <c r="M558" i="20"/>
  <c r="L558" i="20"/>
  <c r="L469" i="20"/>
  <c r="M505" i="20"/>
  <c r="L505" i="20"/>
  <c r="L523" i="20"/>
  <c r="M523" i="20"/>
  <c r="M528" i="20"/>
  <c r="L528" i="20"/>
  <c r="L535" i="20"/>
  <c r="M535" i="20"/>
  <c r="J546" i="20"/>
  <c r="L547" i="20"/>
  <c r="M547" i="20"/>
  <c r="E62" i="24"/>
  <c r="E60" i="24" s="1"/>
  <c r="I18" i="20"/>
  <c r="I79" i="20"/>
  <c r="L190" i="20"/>
  <c r="M190" i="20"/>
  <c r="M427" i="20"/>
  <c r="L427" i="20"/>
  <c r="M506" i="20"/>
  <c r="L506" i="20"/>
  <c r="M524" i="20"/>
  <c r="L524" i="20"/>
  <c r="L529" i="20"/>
  <c r="M529" i="20"/>
  <c r="J553" i="20"/>
  <c r="M554" i="20"/>
  <c r="L554" i="20"/>
  <c r="M174" i="20"/>
  <c r="J122" i="20"/>
  <c r="J102" i="20" s="1"/>
  <c r="J101" i="20" s="1"/>
  <c r="M123" i="20"/>
  <c r="L123" i="20"/>
  <c r="C31" i="24"/>
  <c r="C30" i="24" s="1"/>
  <c r="C16" i="24"/>
  <c r="I67" i="20"/>
  <c r="I138" i="20"/>
  <c r="L129" i="20"/>
  <c r="M129" i="20"/>
  <c r="J147" i="20"/>
  <c r="L148" i="20"/>
  <c r="M148" i="20"/>
  <c r="L167" i="20"/>
  <c r="J517" i="20"/>
  <c r="J522" i="20"/>
  <c r="J527" i="20"/>
  <c r="J533" i="20"/>
  <c r="M534" i="20"/>
  <c r="L534" i="20"/>
  <c r="M542" i="20"/>
  <c r="L542" i="20"/>
  <c r="M126" i="20"/>
  <c r="I50" i="20"/>
  <c r="I48" i="20" s="1"/>
  <c r="C56" i="24" s="1"/>
  <c r="C54" i="24" s="1"/>
  <c r="M169" i="20"/>
  <c r="K67" i="20"/>
  <c r="L487" i="20"/>
  <c r="M487" i="20"/>
  <c r="L460" i="20"/>
  <c r="M460" i="20"/>
  <c r="L450" i="20"/>
  <c r="M453" i="20"/>
  <c r="L453" i="20"/>
  <c r="M433" i="20"/>
  <c r="L433" i="20"/>
  <c r="L357" i="20"/>
  <c r="M357" i="20"/>
  <c r="J325" i="20"/>
  <c r="J41" i="20" s="1"/>
  <c r="J39" i="20" s="1"/>
  <c r="L326" i="20"/>
  <c r="M326" i="20"/>
  <c r="L320" i="20"/>
  <c r="M320" i="20"/>
  <c r="L292" i="20"/>
  <c r="M292" i="20"/>
  <c r="L234" i="20"/>
  <c r="M234" i="20"/>
  <c r="M227" i="20"/>
  <c r="L227" i="20"/>
  <c r="L186" i="20"/>
  <c r="M186" i="20"/>
  <c r="L181" i="20"/>
  <c r="M181" i="20"/>
  <c r="L164" i="20"/>
  <c r="M164" i="20"/>
  <c r="M157" i="20"/>
  <c r="L157" i="20"/>
  <c r="M135" i="20"/>
  <c r="L135" i="20"/>
  <c r="J16" i="20"/>
  <c r="J15" i="20" s="1"/>
  <c r="D17" i="24"/>
  <c r="J19" i="20"/>
  <c r="D20" i="24"/>
  <c r="L475" i="20"/>
  <c r="M475" i="20"/>
  <c r="M472" i="20"/>
  <c r="L472" i="20"/>
  <c r="L468" i="20"/>
  <c r="M468" i="20"/>
  <c r="L307" i="20"/>
  <c r="M307" i="20"/>
  <c r="M304" i="20"/>
  <c r="L304" i="20"/>
  <c r="L298" i="20"/>
  <c r="M298" i="20"/>
  <c r="M278" i="20"/>
  <c r="L278" i="20"/>
  <c r="L276" i="20"/>
  <c r="M276" i="20"/>
  <c r="M273" i="20"/>
  <c r="L273" i="20"/>
  <c r="L266" i="20"/>
  <c r="M266" i="20"/>
  <c r="J20" i="20"/>
  <c r="D21" i="24"/>
  <c r="M73" i="20"/>
  <c r="L73" i="20"/>
  <c r="J82" i="20"/>
  <c r="M83" i="20"/>
  <c r="L83" i="20"/>
  <c r="J508" i="20"/>
  <c r="M509" i="20"/>
  <c r="L509" i="20"/>
  <c r="J502" i="20"/>
  <c r="L503" i="20"/>
  <c r="M503" i="20"/>
  <c r="J496" i="20"/>
  <c r="L497" i="20"/>
  <c r="M497" i="20"/>
  <c r="J150" i="20"/>
  <c r="J44" i="20" s="1"/>
  <c r="J42" i="20" s="1"/>
  <c r="M151" i="20"/>
  <c r="L151" i="20"/>
  <c r="L141" i="20"/>
  <c r="M141" i="20"/>
  <c r="L139" i="20"/>
  <c r="M139" i="20"/>
  <c r="L104" i="20"/>
  <c r="M104" i="20"/>
  <c r="L99" i="20"/>
  <c r="M99" i="20"/>
  <c r="J77" i="20"/>
  <c r="L78" i="20"/>
  <c r="M78" i="20"/>
  <c r="J18" i="20"/>
  <c r="D19" i="24"/>
  <c r="L68" i="20"/>
  <c r="M68" i="20"/>
  <c r="L447" i="20"/>
  <c r="M447" i="20"/>
  <c r="L440" i="20"/>
  <c r="M440" i="20"/>
  <c r="L251" i="20"/>
  <c r="M251" i="20"/>
  <c r="L248" i="20"/>
  <c r="M248" i="20"/>
  <c r="L241" i="20"/>
  <c r="M241" i="20"/>
  <c r="M210" i="20"/>
  <c r="L212" i="20"/>
  <c r="M212" i="20"/>
  <c r="L207" i="20"/>
  <c r="M207" i="20"/>
  <c r="L199" i="20"/>
  <c r="M199" i="20"/>
  <c r="M417" i="20"/>
  <c r="L420" i="20"/>
  <c r="M420" i="20"/>
  <c r="L412" i="20"/>
  <c r="M412" i="20"/>
  <c r="M405" i="20"/>
  <c r="L405" i="20"/>
  <c r="J396" i="20"/>
  <c r="J328" i="20" s="1"/>
  <c r="AA331" i="20" s="1"/>
  <c r="L397" i="20"/>
  <c r="M397" i="20"/>
  <c r="L373" i="20"/>
  <c r="L382" i="20"/>
  <c r="M382" i="20"/>
  <c r="M370" i="20"/>
  <c r="L370" i="20"/>
  <c r="L363" i="20"/>
  <c r="M363" i="20"/>
  <c r="L364" i="20"/>
  <c r="M364" i="20"/>
  <c r="L344" i="20"/>
  <c r="M344" i="20"/>
  <c r="L339" i="20"/>
  <c r="M339" i="20"/>
  <c r="L332" i="20"/>
  <c r="M332" i="20"/>
  <c r="L91" i="20"/>
  <c r="M91" i="20"/>
  <c r="L70" i="20"/>
  <c r="M70" i="20"/>
  <c r="L80" i="20"/>
  <c r="M80" i="20"/>
  <c r="J8" i="20"/>
  <c r="L81" i="20"/>
  <c r="M81" i="20"/>
  <c r="K79" i="20"/>
  <c r="J67" i="20"/>
  <c r="E56" i="24"/>
  <c r="E54" i="24" s="1"/>
  <c r="K17" i="20"/>
  <c r="K14" i="20" s="1"/>
  <c r="K10" i="20"/>
  <c r="K7" i="20" s="1"/>
  <c r="J10" i="20"/>
  <c r="I39" i="20"/>
  <c r="C62" i="24" s="1"/>
  <c r="C60" i="24" s="1"/>
  <c r="I467" i="20"/>
  <c r="I437" i="20" l="1"/>
  <c r="I436" i="20" s="1"/>
  <c r="AA438" i="20" s="1"/>
  <c r="I29" i="20"/>
  <c r="J195" i="20"/>
  <c r="AA199" i="20" s="1"/>
  <c r="J402" i="20"/>
  <c r="J399" i="20" s="1"/>
  <c r="AA401" i="20" s="1"/>
  <c r="I31" i="20"/>
  <c r="I30" i="20" s="1"/>
  <c r="I34" i="20"/>
  <c r="I466" i="20"/>
  <c r="I463" i="20" s="1"/>
  <c r="K26" i="20"/>
  <c r="I195" i="20"/>
  <c r="AA196" i="20" s="1"/>
  <c r="J25" i="20"/>
  <c r="J23" i="20" s="1"/>
  <c r="J88" i="20"/>
  <c r="K86" i="20"/>
  <c r="K22" i="20"/>
  <c r="K21" i="20" s="1"/>
  <c r="AC22" i="20" s="1"/>
  <c r="I88" i="20"/>
  <c r="I87" i="20" s="1"/>
  <c r="I86" i="20" s="1"/>
  <c r="AA330" i="20"/>
  <c r="J262" i="20"/>
  <c r="I7" i="20"/>
  <c r="K494" i="20"/>
  <c r="I494" i="20"/>
  <c r="J501" i="20"/>
  <c r="AA89" i="20"/>
  <c r="AA90" i="20" s="1"/>
  <c r="M167" i="20"/>
  <c r="E40" i="24"/>
  <c r="I493" i="20"/>
  <c r="I492" i="20" s="1"/>
  <c r="K493" i="20"/>
  <c r="K492" i="20" s="1"/>
  <c r="M34" i="20"/>
  <c r="M79" i="20"/>
  <c r="I61" i="20"/>
  <c r="I59" i="20" s="1"/>
  <c r="I55" i="20" s="1"/>
  <c r="I51" i="20" s="1"/>
  <c r="AA264" i="20"/>
  <c r="L32" i="20"/>
  <c r="M450" i="20"/>
  <c r="L79" i="20"/>
  <c r="C39" i="24"/>
  <c r="C38" i="24" s="1"/>
  <c r="L38" i="20"/>
  <c r="I17" i="20"/>
  <c r="I14" i="20" s="1"/>
  <c r="C18" i="24"/>
  <c r="C15" i="24" s="1"/>
  <c r="J17" i="20"/>
  <c r="J14" i="20" s="1"/>
  <c r="M517" i="20"/>
  <c r="L517" i="20"/>
  <c r="J144" i="20"/>
  <c r="L147" i="20"/>
  <c r="M147" i="20"/>
  <c r="L210" i="20"/>
  <c r="J532" i="20"/>
  <c r="L533" i="20"/>
  <c r="M533" i="20"/>
  <c r="J545" i="20"/>
  <c r="M546" i="20"/>
  <c r="L546" i="20"/>
  <c r="M38" i="20"/>
  <c r="M527" i="20"/>
  <c r="L527" i="20"/>
  <c r="L189" i="20"/>
  <c r="M189" i="20"/>
  <c r="J556" i="20"/>
  <c r="L557" i="20"/>
  <c r="M557" i="20"/>
  <c r="I76" i="20"/>
  <c r="J537" i="20"/>
  <c r="M538" i="20"/>
  <c r="L538" i="20"/>
  <c r="L196" i="20"/>
  <c r="C59" i="24"/>
  <c r="J7" i="20"/>
  <c r="L417" i="20"/>
  <c r="M522" i="20"/>
  <c r="L522" i="20"/>
  <c r="L122" i="20"/>
  <c r="M122" i="20"/>
  <c r="J552" i="20"/>
  <c r="L553" i="20"/>
  <c r="M553" i="20"/>
  <c r="C32" i="24"/>
  <c r="C29" i="24" s="1"/>
  <c r="M467" i="20"/>
  <c r="L467" i="20"/>
  <c r="L325" i="20"/>
  <c r="M325" i="20"/>
  <c r="E59" i="24"/>
  <c r="L185" i="20"/>
  <c r="M185" i="20"/>
  <c r="M155" i="20"/>
  <c r="L155" i="20"/>
  <c r="M156" i="20"/>
  <c r="L156" i="20"/>
  <c r="L50" i="20"/>
  <c r="M50" i="20"/>
  <c r="K76" i="20"/>
  <c r="F20" i="24"/>
  <c r="G20" i="24"/>
  <c r="D34" i="24"/>
  <c r="D31" i="24"/>
  <c r="G17" i="24"/>
  <c r="F17" i="24"/>
  <c r="D16" i="24"/>
  <c r="M466" i="20"/>
  <c r="M295" i="20"/>
  <c r="M296" i="20"/>
  <c r="L296" i="20"/>
  <c r="L297" i="20"/>
  <c r="M297" i="20"/>
  <c r="M265" i="20"/>
  <c r="L265" i="20"/>
  <c r="D35" i="24"/>
  <c r="G21" i="24"/>
  <c r="F21" i="24"/>
  <c r="L82" i="20"/>
  <c r="M82" i="20"/>
  <c r="L508" i="20"/>
  <c r="M508" i="20"/>
  <c r="L502" i="20"/>
  <c r="M502" i="20"/>
  <c r="J495" i="20"/>
  <c r="J58" i="20" s="1"/>
  <c r="J56" i="20" s="1"/>
  <c r="M496" i="20"/>
  <c r="L496" i="20"/>
  <c r="L150" i="20"/>
  <c r="M150" i="20"/>
  <c r="M36" i="20"/>
  <c r="L36" i="20"/>
  <c r="M138" i="20"/>
  <c r="L138" i="20"/>
  <c r="L102" i="20"/>
  <c r="M102" i="20"/>
  <c r="D33" i="24"/>
  <c r="F19" i="24"/>
  <c r="D18" i="24"/>
  <c r="G19" i="24"/>
  <c r="J76" i="20"/>
  <c r="M77" i="20"/>
  <c r="L77" i="20"/>
  <c r="L439" i="20"/>
  <c r="M439" i="20"/>
  <c r="L238" i="20"/>
  <c r="M238" i="20"/>
  <c r="L239" i="20"/>
  <c r="M239" i="20"/>
  <c r="L240" i="20"/>
  <c r="M240" i="20"/>
  <c r="L197" i="20"/>
  <c r="M197" i="20"/>
  <c r="L198" i="20"/>
  <c r="M198" i="20"/>
  <c r="M415" i="20"/>
  <c r="M403" i="20"/>
  <c r="L403" i="20"/>
  <c r="L404" i="20"/>
  <c r="M404" i="20"/>
  <c r="M373" i="20"/>
  <c r="L396" i="20"/>
  <c r="M396" i="20"/>
  <c r="L362" i="20"/>
  <c r="M362" i="20"/>
  <c r="L342" i="20"/>
  <c r="M342" i="20"/>
  <c r="L330" i="20"/>
  <c r="M330" i="20"/>
  <c r="M331" i="20"/>
  <c r="L331" i="20"/>
  <c r="L90" i="20"/>
  <c r="M90" i="20"/>
  <c r="L67" i="20"/>
  <c r="M67" i="20"/>
  <c r="I33" i="20"/>
  <c r="AA467" i="20" l="1"/>
  <c r="AA465" i="20"/>
  <c r="AA437" i="20"/>
  <c r="D40" i="24"/>
  <c r="G40" i="24" s="1"/>
  <c r="K85" i="20"/>
  <c r="K84" i="20"/>
  <c r="L501" i="20"/>
  <c r="J61" i="20"/>
  <c r="J59" i="20" s="1"/>
  <c r="J55" i="20" s="1"/>
  <c r="J51" i="20" s="1"/>
  <c r="AB262" i="20"/>
  <c r="D62" i="24"/>
  <c r="D60" i="24" s="1"/>
  <c r="L33" i="20"/>
  <c r="M32" i="20"/>
  <c r="C76" i="24"/>
  <c r="C74" i="24" s="1"/>
  <c r="C72" i="24" s="1"/>
  <c r="M501" i="20"/>
  <c r="J494" i="20"/>
  <c r="L494" i="20" s="1"/>
  <c r="L295" i="20"/>
  <c r="L41" i="20"/>
  <c r="M41" i="20"/>
  <c r="I23" i="20"/>
  <c r="I84" i="20"/>
  <c r="AA85" i="20" s="1"/>
  <c r="M196" i="20"/>
  <c r="I27" i="20"/>
  <c r="I26" i="20" s="1"/>
  <c r="M556" i="20"/>
  <c r="L556" i="20"/>
  <c r="M532" i="20"/>
  <c r="L532" i="20"/>
  <c r="J143" i="20"/>
  <c r="L144" i="20"/>
  <c r="M144" i="20"/>
  <c r="L466" i="20"/>
  <c r="L537" i="20"/>
  <c r="M537" i="20"/>
  <c r="J544" i="20"/>
  <c r="M545" i="20"/>
  <c r="L545" i="20"/>
  <c r="D59" i="24"/>
  <c r="G59" i="24" s="1"/>
  <c r="L34" i="20"/>
  <c r="J551" i="20"/>
  <c r="M552" i="20"/>
  <c r="L552" i="20"/>
  <c r="C58" i="24"/>
  <c r="C57" i="24" s="1"/>
  <c r="E76" i="24"/>
  <c r="E74" i="24" s="1"/>
  <c r="E72" i="24" s="1"/>
  <c r="L402" i="20"/>
  <c r="E58" i="24"/>
  <c r="E57" i="24" s="1"/>
  <c r="M35" i="20"/>
  <c r="L35" i="20"/>
  <c r="M154" i="20"/>
  <c r="L154" i="20"/>
  <c r="D56" i="24"/>
  <c r="L48" i="20"/>
  <c r="M48" i="20"/>
  <c r="E39" i="24"/>
  <c r="E38" i="24" s="1"/>
  <c r="G16" i="24"/>
  <c r="F16" i="24"/>
  <c r="G34" i="24"/>
  <c r="F34" i="24"/>
  <c r="F31" i="24"/>
  <c r="G31" i="24"/>
  <c r="D30" i="24"/>
  <c r="L463" i="20"/>
  <c r="M463" i="20"/>
  <c r="L264" i="20"/>
  <c r="M264" i="20"/>
  <c r="G35" i="24"/>
  <c r="F35" i="24"/>
  <c r="L495" i="20"/>
  <c r="M495" i="20"/>
  <c r="M44" i="20"/>
  <c r="L44" i="20"/>
  <c r="F40" i="24"/>
  <c r="D39" i="24"/>
  <c r="G18" i="24"/>
  <c r="D15" i="24"/>
  <c r="F18" i="24"/>
  <c r="L76" i="20"/>
  <c r="M76" i="20"/>
  <c r="G33" i="24"/>
  <c r="F33" i="24"/>
  <c r="D32" i="24"/>
  <c r="L438" i="20"/>
  <c r="M438" i="20"/>
  <c r="L415" i="20"/>
  <c r="L39" i="20"/>
  <c r="M39" i="20"/>
  <c r="M361" i="20"/>
  <c r="L361" i="20"/>
  <c r="M329" i="20"/>
  <c r="L329" i="20"/>
  <c r="L88" i="20"/>
  <c r="M88" i="20"/>
  <c r="M89" i="20"/>
  <c r="L89" i="20"/>
  <c r="G62" i="24" l="1"/>
  <c r="F62" i="24"/>
  <c r="J47" i="20"/>
  <c r="J45" i="20" s="1"/>
  <c r="J22" i="20" s="1"/>
  <c r="J21" i="20" s="1"/>
  <c r="J87" i="20"/>
  <c r="J86" i="20" s="1"/>
  <c r="I22" i="20"/>
  <c r="I21" i="20" s="1"/>
  <c r="AA22" i="20" s="1"/>
  <c r="M33" i="20"/>
  <c r="M494" i="20"/>
  <c r="C37" i="24"/>
  <c r="C36" i="24" s="1"/>
  <c r="J493" i="20"/>
  <c r="L493" i="20" s="1"/>
  <c r="M402" i="20"/>
  <c r="L195" i="20"/>
  <c r="M195" i="20"/>
  <c r="F59" i="24"/>
  <c r="I85" i="20"/>
  <c r="L551" i="20"/>
  <c r="M551" i="20"/>
  <c r="M64" i="20"/>
  <c r="L64" i="20"/>
  <c r="L143" i="20"/>
  <c r="M143" i="20"/>
  <c r="M544" i="20"/>
  <c r="L544" i="20"/>
  <c r="G60" i="24"/>
  <c r="F60" i="24"/>
  <c r="E37" i="24"/>
  <c r="E36" i="24" s="1"/>
  <c r="D58" i="24"/>
  <c r="M153" i="20"/>
  <c r="L153" i="20"/>
  <c r="D54" i="24"/>
  <c r="G56" i="24"/>
  <c r="F56" i="24"/>
  <c r="G30" i="24"/>
  <c r="F30" i="24"/>
  <c r="L263" i="20"/>
  <c r="M263" i="20"/>
  <c r="M58" i="20"/>
  <c r="L58" i="20"/>
  <c r="D47" i="24"/>
  <c r="M42" i="20"/>
  <c r="L42" i="20"/>
  <c r="G39" i="24"/>
  <c r="F39" i="24"/>
  <c r="D38" i="24"/>
  <c r="F32" i="24"/>
  <c r="D29" i="24"/>
  <c r="G32" i="24"/>
  <c r="G15" i="24"/>
  <c r="F15" i="24"/>
  <c r="L437" i="20"/>
  <c r="M437" i="20"/>
  <c r="M328" i="20"/>
  <c r="L328" i="20"/>
  <c r="L87" i="20" l="1"/>
  <c r="M87" i="20"/>
  <c r="AB22" i="20"/>
  <c r="AB19" i="20"/>
  <c r="J492" i="20"/>
  <c r="M493" i="20"/>
  <c r="L399" i="20"/>
  <c r="M399" i="20"/>
  <c r="M61" i="20"/>
  <c r="L61" i="20"/>
  <c r="M63" i="20"/>
  <c r="L63" i="20"/>
  <c r="L47" i="20"/>
  <c r="M47" i="20"/>
  <c r="M54" i="20"/>
  <c r="L54" i="20"/>
  <c r="D57" i="24"/>
  <c r="G58" i="24"/>
  <c r="F58" i="24"/>
  <c r="G54" i="24"/>
  <c r="F54" i="24"/>
  <c r="L262" i="20"/>
  <c r="M262" i="20"/>
  <c r="M492" i="20"/>
  <c r="L492" i="20"/>
  <c r="D75" i="24"/>
  <c r="M56" i="20"/>
  <c r="L56" i="20"/>
  <c r="F47" i="24"/>
  <c r="D41" i="24"/>
  <c r="G41" i="24" s="1"/>
  <c r="G47" i="24"/>
  <c r="G38" i="24"/>
  <c r="F38" i="24"/>
  <c r="G29" i="24"/>
  <c r="F29" i="24"/>
  <c r="L436" i="20"/>
  <c r="M436" i="20"/>
  <c r="N331" i="20"/>
  <c r="P7" i="20"/>
  <c r="Q7" i="20"/>
  <c r="P8" i="20"/>
  <c r="Q8" i="20"/>
  <c r="P10" i="20"/>
  <c r="Q10" i="20"/>
  <c r="P11" i="20"/>
  <c r="Q11" i="20"/>
  <c r="P13" i="20"/>
  <c r="Q13" i="20"/>
  <c r="P14" i="20"/>
  <c r="Q14" i="20"/>
  <c r="P16" i="20"/>
  <c r="Q16" i="20"/>
  <c r="P17" i="20"/>
  <c r="Q17" i="20"/>
  <c r="P18" i="20"/>
  <c r="Q18" i="20"/>
  <c r="P19" i="20"/>
  <c r="Q19" i="20"/>
  <c r="Q20" i="20"/>
  <c r="P21" i="20"/>
  <c r="Q21" i="20"/>
  <c r="P22" i="20"/>
  <c r="Q22" i="20"/>
  <c r="N80" i="20"/>
  <c r="N31" i="20"/>
  <c r="J84" i="20" l="1"/>
  <c r="M84" i="20" s="1"/>
  <c r="J85" i="20"/>
  <c r="L85" i="20" s="1"/>
  <c r="L86" i="20"/>
  <c r="M86" i="20"/>
  <c r="D50" i="24"/>
  <c r="L45" i="20"/>
  <c r="M45" i="20"/>
  <c r="M59" i="20"/>
  <c r="D76" i="24"/>
  <c r="D74" i="24" s="1"/>
  <c r="L59" i="20"/>
  <c r="M62" i="20"/>
  <c r="L62" i="20"/>
  <c r="P20" i="20"/>
  <c r="D73" i="24"/>
  <c r="G73" i="24" s="1"/>
  <c r="L52" i="20"/>
  <c r="M52" i="20"/>
  <c r="G57" i="24"/>
  <c r="F57" i="24"/>
  <c r="F75" i="24"/>
  <c r="G75" i="24"/>
  <c r="L55" i="20"/>
  <c r="M55" i="20"/>
  <c r="F41" i="24"/>
  <c r="Q15" i="20"/>
  <c r="Q9" i="20"/>
  <c r="P9" i="20"/>
  <c r="P15" i="20"/>
  <c r="Q12" i="20"/>
  <c r="Q6" i="20"/>
  <c r="P12" i="20"/>
  <c r="P6" i="20"/>
  <c r="L84" i="20" l="1"/>
  <c r="M85" i="20"/>
  <c r="F73" i="24"/>
  <c r="G76" i="24"/>
  <c r="F76" i="24"/>
  <c r="D48" i="24"/>
  <c r="F50" i="24"/>
  <c r="G50" i="24"/>
  <c r="L51" i="20"/>
  <c r="M51" i="20"/>
  <c r="D72" i="24"/>
  <c r="G74" i="24"/>
  <c r="F74" i="24"/>
  <c r="P23" i="20"/>
  <c r="G48" i="24" l="1"/>
  <c r="F48" i="24"/>
  <c r="G72" i="24"/>
  <c r="F72" i="24"/>
  <c r="D37" i="24"/>
  <c r="P25" i="20"/>
  <c r="Q25" i="20"/>
  <c r="P27" i="20"/>
  <c r="Q27" i="20"/>
  <c r="F37" i="24" l="1"/>
  <c r="G37" i="24"/>
  <c r="D36" i="24"/>
  <c r="S27" i="20"/>
  <c r="S25" i="20"/>
  <c r="G36" i="24" l="1"/>
  <c r="F36" i="24"/>
  <c r="S14" i="20"/>
  <c r="S19" i="20"/>
  <c r="Q28" i="20"/>
  <c r="S16" i="20"/>
  <c r="P28" i="20"/>
  <c r="Q26" i="20" l="1"/>
  <c r="Q24" i="20" s="1"/>
  <c r="P26" i="20"/>
  <c r="S10" i="20"/>
  <c r="S13" i="20"/>
  <c r="S8" i="20"/>
  <c r="Q23" i="20"/>
  <c r="S12" i="20" l="1"/>
  <c r="P24" i="20"/>
  <c r="S24" i="20" s="1"/>
  <c r="S26" i="20"/>
  <c r="S15" i="20"/>
  <c r="S17" i="20"/>
  <c r="S11" i="20" l="1"/>
  <c r="S22" i="20"/>
  <c r="S18" i="20"/>
  <c r="S21" i="20"/>
  <c r="S9" i="20" l="1"/>
  <c r="S7" i="20"/>
  <c r="S20" i="20"/>
  <c r="M7" i="20"/>
  <c r="M8" i="20"/>
  <c r="L9" i="20"/>
  <c r="M9" i="20"/>
  <c r="M10" i="20"/>
  <c r="L11" i="20"/>
  <c r="M11" i="20"/>
  <c r="L12" i="20"/>
  <c r="M12" i="20"/>
  <c r="M13" i="20"/>
  <c r="L14" i="20"/>
  <c r="M14" i="20"/>
  <c r="L15" i="20"/>
  <c r="M15" i="20"/>
  <c r="M16" i="20"/>
  <c r="M17" i="20"/>
  <c r="M18" i="20"/>
  <c r="M19" i="20"/>
  <c r="M20" i="20"/>
  <c r="M21" i="20"/>
  <c r="M22" i="20"/>
  <c r="M23" i="20"/>
  <c r="M28" i="20"/>
  <c r="M29" i="20"/>
  <c r="M30" i="20"/>
  <c r="M31" i="20"/>
  <c r="M24" i="20" l="1"/>
  <c r="M27" i="20"/>
  <c r="M26" i="20"/>
  <c r="S6" i="20"/>
  <c r="S23" i="20"/>
  <c r="O17" i="20"/>
  <c r="R17" i="20" s="1"/>
  <c r="M25" i="20" l="1"/>
  <c r="O14" i="20"/>
  <c r="O18" i="20"/>
  <c r="R18" i="20" s="1"/>
  <c r="O20" i="20"/>
  <c r="L30" i="20"/>
  <c r="L31" i="20"/>
  <c r="R20" i="20" l="1"/>
  <c r="O8" i="20"/>
  <c r="O16" i="20"/>
  <c r="O11" i="20"/>
  <c r="R11" i="20" s="1"/>
  <c r="R14" i="20"/>
  <c r="O21" i="20"/>
  <c r="O19" i="20"/>
  <c r="O13" i="20"/>
  <c r="O10" i="20" l="1"/>
  <c r="N116" i="20"/>
  <c r="O12" i="20"/>
  <c r="R12" i="20" s="1"/>
  <c r="R13" i="20"/>
  <c r="R21" i="20"/>
  <c r="O15" i="20"/>
  <c r="R16" i="20"/>
  <c r="R8" i="20"/>
  <c r="O27" i="20"/>
  <c r="O28" i="20"/>
  <c r="L29" i="20"/>
  <c r="O7" i="20"/>
  <c r="R19" i="20"/>
  <c r="R10" i="20" l="1"/>
  <c r="N305" i="20"/>
  <c r="N210" i="20"/>
  <c r="O9" i="20"/>
  <c r="R9" i="20" s="1"/>
  <c r="O6" i="20"/>
  <c r="R6" i="20" s="1"/>
  <c r="R7" i="20"/>
  <c r="O26" i="20"/>
  <c r="R26" i="20" s="1"/>
  <c r="R27" i="20"/>
  <c r="N164" i="20"/>
  <c r="R15" i="20"/>
  <c r="O25" i="20"/>
  <c r="O22" i="20"/>
  <c r="N276" i="20"/>
  <c r="L28" i="20"/>
  <c r="I361" i="23"/>
  <c r="I360" i="23" s="1"/>
  <c r="I359" i="23" s="1"/>
  <c r="I358" i="23" s="1"/>
  <c r="I60" i="23" s="1"/>
  <c r="I356" i="23"/>
  <c r="I355" i="23"/>
  <c r="I354" i="23" s="1"/>
  <c r="I353" i="23" s="1"/>
  <c r="I351" i="23"/>
  <c r="I350" i="23"/>
  <c r="I349" i="23" s="1"/>
  <c r="I348" i="23" s="1"/>
  <c r="I346" i="23"/>
  <c r="I345" i="23"/>
  <c r="I344" i="23" s="1"/>
  <c r="I343" i="23" s="1"/>
  <c r="I341" i="23"/>
  <c r="I340" i="23"/>
  <c r="I339" i="23"/>
  <c r="I338" i="23"/>
  <c r="I336" i="23"/>
  <c r="I335" i="23"/>
  <c r="I334" i="23"/>
  <c r="I333" i="23"/>
  <c r="I331" i="23"/>
  <c r="I330" i="23"/>
  <c r="I329" i="23" s="1"/>
  <c r="I328" i="23" s="1"/>
  <c r="I324" i="23"/>
  <c r="I323" i="23"/>
  <c r="I321" i="23"/>
  <c r="I320" i="23" s="1"/>
  <c r="I318" i="23"/>
  <c r="I317" i="23"/>
  <c r="I314" i="23"/>
  <c r="I313" i="23" s="1"/>
  <c r="I312" i="23" s="1"/>
  <c r="I58" i="23" s="1"/>
  <c r="I306" i="23"/>
  <c r="I304" i="23"/>
  <c r="I301" i="23"/>
  <c r="I300" i="23" s="1"/>
  <c r="I293" i="23"/>
  <c r="I290" i="23" s="1"/>
  <c r="I288" i="23"/>
  <c r="I284" i="23"/>
  <c r="I283" i="23"/>
  <c r="I275" i="23"/>
  <c r="I272" i="23" s="1"/>
  <c r="I270" i="23" s="1"/>
  <c r="I268" i="23"/>
  <c r="I264" i="23"/>
  <c r="I263" i="23" s="1"/>
  <c r="I258" i="23"/>
  <c r="I252" i="23"/>
  <c r="I241" i="23" s="1"/>
  <c r="I239" i="23"/>
  <c r="I236" i="23"/>
  <c r="I235" i="23" s="1"/>
  <c r="I226" i="23"/>
  <c r="I224" i="23" s="1"/>
  <c r="I222" i="23"/>
  <c r="I217" i="23"/>
  <c r="I216" i="23" s="1"/>
  <c r="I215" i="23" s="1"/>
  <c r="I211" i="23"/>
  <c r="I204" i="23"/>
  <c r="I202" i="23"/>
  <c r="I199" i="23"/>
  <c r="I198" i="23" s="1"/>
  <c r="I197" i="23" s="1"/>
  <c r="I194" i="23"/>
  <c r="I188" i="23"/>
  <c r="I186" i="23" s="1"/>
  <c r="I185" i="23" s="1"/>
  <c r="I183" i="23"/>
  <c r="I179" i="23"/>
  <c r="I178" i="23" s="1"/>
  <c r="I177" i="23" s="1"/>
  <c r="I168" i="23"/>
  <c r="I43" i="23" s="1"/>
  <c r="I166" i="23"/>
  <c r="I162" i="23"/>
  <c r="I161" i="23" s="1"/>
  <c r="I157" i="23"/>
  <c r="I149" i="23"/>
  <c r="I147" i="23"/>
  <c r="I144" i="23"/>
  <c r="I139" i="23"/>
  <c r="I138" i="23" s="1"/>
  <c r="I133" i="23"/>
  <c r="I130" i="23"/>
  <c r="I129" i="23" s="1"/>
  <c r="I48" i="23" s="1"/>
  <c r="I127" i="23"/>
  <c r="I122" i="23"/>
  <c r="I120" i="23" s="1"/>
  <c r="I117" i="23"/>
  <c r="I113" i="23"/>
  <c r="I112" i="23" s="1"/>
  <c r="I107" i="23"/>
  <c r="I106" i="23" s="1"/>
  <c r="I56" i="23" s="1"/>
  <c r="I55" i="23" s="1"/>
  <c r="I104" i="23"/>
  <c r="I103" i="23" s="1"/>
  <c r="I100" i="23" s="1"/>
  <c r="I99" i="23" s="1"/>
  <c r="I54" i="23" s="1"/>
  <c r="I53" i="23" s="1"/>
  <c r="I97" i="23"/>
  <c r="I50" i="23" s="1"/>
  <c r="I49" i="23" s="1"/>
  <c r="I95" i="23"/>
  <c r="I77" i="23"/>
  <c r="I75" i="23" s="1"/>
  <c r="I74" i="23" s="1"/>
  <c r="I72" i="23"/>
  <c r="I70" i="23"/>
  <c r="I69" i="23"/>
  <c r="I67" i="23"/>
  <c r="I42" i="23"/>
  <c r="I36" i="23"/>
  <c r="I23" i="23"/>
  <c r="I22" i="23" s="1"/>
  <c r="B23" i="23"/>
  <c r="I21" i="23"/>
  <c r="B21" i="23"/>
  <c r="I20" i="23"/>
  <c r="B20" i="23"/>
  <c r="I18" i="23"/>
  <c r="I17" i="23" s="1"/>
  <c r="B18" i="23"/>
  <c r="I13" i="23"/>
  <c r="I10" i="23"/>
  <c r="I8" i="23"/>
  <c r="O33" i="20" l="1"/>
  <c r="I7" i="23"/>
  <c r="I6" i="23" s="1"/>
  <c r="I19" i="23"/>
  <c r="I16" i="23" s="1"/>
  <c r="I146" i="23"/>
  <c r="I111" i="23"/>
  <c r="I110" i="23" s="1"/>
  <c r="I109" i="23" s="1"/>
  <c r="J109" i="23" s="1"/>
  <c r="I234" i="23"/>
  <c r="R22" i="20"/>
  <c r="O24" i="20"/>
  <c r="R24" i="20" s="1"/>
  <c r="R25" i="20"/>
  <c r="O23" i="20"/>
  <c r="I214" i="23"/>
  <c r="I137" i="23"/>
  <c r="I136" i="23" s="1"/>
  <c r="I160" i="23"/>
  <c r="I66" i="23"/>
  <c r="I65" i="23" s="1"/>
  <c r="I119" i="23"/>
  <c r="I29" i="23" s="1"/>
  <c r="I262" i="23"/>
  <c r="I261" i="23" s="1"/>
  <c r="I260" i="23" s="1"/>
  <c r="J260" i="23" s="1"/>
  <c r="I282" i="23"/>
  <c r="I299" i="23"/>
  <c r="I298" i="23" s="1"/>
  <c r="I297" i="23" s="1"/>
  <c r="J297" i="23" s="1"/>
  <c r="I316" i="23"/>
  <c r="I52" i="23"/>
  <c r="I51" i="23" s="1"/>
  <c r="L27" i="20"/>
  <c r="I64" i="23"/>
  <c r="I28" i="23"/>
  <c r="I233" i="23"/>
  <c r="I159" i="23"/>
  <c r="I135" i="23" s="1"/>
  <c r="J135" i="23" s="1"/>
  <c r="I41" i="23"/>
  <c r="I40" i="23" s="1"/>
  <c r="I38" i="23" s="1"/>
  <c r="J39" i="23" s="1"/>
  <c r="I176" i="23"/>
  <c r="I196" i="23"/>
  <c r="I281" i="23"/>
  <c r="I280" i="23" s="1"/>
  <c r="J280" i="23" s="1"/>
  <c r="I47" i="23"/>
  <c r="I46" i="23" s="1"/>
  <c r="I44" i="23" s="1"/>
  <c r="I311" i="23"/>
  <c r="I310" i="23" s="1"/>
  <c r="I309" i="23" s="1"/>
  <c r="I59" i="23"/>
  <c r="I57" i="23" s="1"/>
  <c r="I213" i="23"/>
  <c r="J213" i="23" s="1"/>
  <c r="I94" i="23"/>
  <c r="I37" i="23"/>
  <c r="I35" i="23" l="1"/>
  <c r="I34" i="23" s="1"/>
  <c r="I32" i="23" s="1"/>
  <c r="R23" i="20"/>
  <c r="L25" i="20"/>
  <c r="L26" i="20"/>
  <c r="L24" i="20"/>
  <c r="I63" i="23"/>
  <c r="I30" i="23"/>
  <c r="J33" i="23"/>
  <c r="I175" i="23"/>
  <c r="J175" i="23" s="1"/>
  <c r="I26" i="23"/>
  <c r="I25" i="23" l="1"/>
  <c r="I24" i="23" s="1"/>
  <c r="K24" i="23" s="1"/>
  <c r="I62" i="23"/>
  <c r="J63" i="23"/>
  <c r="K62" i="23" l="1"/>
  <c r="I61" i="23"/>
  <c r="V359" i="21" l="1"/>
  <c r="O359" i="21"/>
  <c r="J359" i="21"/>
  <c r="E359" i="21"/>
  <c r="D359" i="21" s="1"/>
  <c r="V358" i="21"/>
  <c r="O358" i="21"/>
  <c r="J358" i="21"/>
  <c r="J357" i="21" s="1"/>
  <c r="J356" i="21" s="1"/>
  <c r="J355" i="21" s="1"/>
  <c r="E358" i="21"/>
  <c r="X357" i="21"/>
  <c r="W357" i="21"/>
  <c r="W356" i="21" s="1"/>
  <c r="W355" i="21" s="1"/>
  <c r="V357" i="21"/>
  <c r="U357" i="21"/>
  <c r="U356" i="21" s="1"/>
  <c r="U355" i="21" s="1"/>
  <c r="T357" i="21"/>
  <c r="S357" i="21"/>
  <c r="S356" i="21" s="1"/>
  <c r="S355" i="21" s="1"/>
  <c r="R357" i="21"/>
  <c r="Q357" i="21"/>
  <c r="Q356" i="21" s="1"/>
  <c r="Q355" i="21" s="1"/>
  <c r="P357" i="21"/>
  <c r="O357" i="21"/>
  <c r="O356" i="21" s="1"/>
  <c r="O355" i="21" s="1"/>
  <c r="N357" i="21"/>
  <c r="M357" i="21"/>
  <c r="M356" i="21" s="1"/>
  <c r="M355" i="21" s="1"/>
  <c r="L357" i="21"/>
  <c r="K357" i="21"/>
  <c r="K356" i="21" s="1"/>
  <c r="K355" i="21" s="1"/>
  <c r="I357" i="21"/>
  <c r="H357" i="21"/>
  <c r="H356" i="21" s="1"/>
  <c r="H355" i="21" s="1"/>
  <c r="G357" i="21"/>
  <c r="G356" i="21" s="1"/>
  <c r="G355" i="21" s="1"/>
  <c r="F357" i="21"/>
  <c r="X356" i="21"/>
  <c r="X355" i="21" s="1"/>
  <c r="V356" i="21"/>
  <c r="V355" i="21" s="1"/>
  <c r="T356" i="21"/>
  <c r="T355" i="21" s="1"/>
  <c r="R356" i="21"/>
  <c r="P356" i="21"/>
  <c r="P355" i="21" s="1"/>
  <c r="N356" i="21"/>
  <c r="N355" i="21" s="1"/>
  <c r="L356" i="21"/>
  <c r="L355" i="21" s="1"/>
  <c r="I356" i="21"/>
  <c r="I355" i="21" s="1"/>
  <c r="F356" i="21"/>
  <c r="F355" i="21" s="1"/>
  <c r="R355" i="21"/>
  <c r="V354" i="21"/>
  <c r="V353" i="21" s="1"/>
  <c r="V352" i="21" s="1"/>
  <c r="V351" i="21" s="1"/>
  <c r="O354" i="21"/>
  <c r="O353" i="21" s="1"/>
  <c r="O352" i="21" s="1"/>
  <c r="O351" i="21" s="1"/>
  <c r="J354" i="21"/>
  <c r="E354" i="21"/>
  <c r="X353" i="21"/>
  <c r="X352" i="21" s="1"/>
  <c r="X351" i="21" s="1"/>
  <c r="W353" i="21"/>
  <c r="W352" i="21" s="1"/>
  <c r="W351" i="21" s="1"/>
  <c r="U353" i="21"/>
  <c r="U352" i="21" s="1"/>
  <c r="U351" i="21" s="1"/>
  <c r="T353" i="21"/>
  <c r="T352" i="21" s="1"/>
  <c r="T351" i="21" s="1"/>
  <c r="S353" i="21"/>
  <c r="S352" i="21" s="1"/>
  <c r="S351" i="21" s="1"/>
  <c r="R353" i="21"/>
  <c r="R352" i="21" s="1"/>
  <c r="R351" i="21" s="1"/>
  <c r="Q353" i="21"/>
  <c r="P353" i="21"/>
  <c r="P352" i="21" s="1"/>
  <c r="P351" i="21" s="1"/>
  <c r="N353" i="21"/>
  <c r="N352" i="21" s="1"/>
  <c r="N351" i="21" s="1"/>
  <c r="M353" i="21"/>
  <c r="M352" i="21" s="1"/>
  <c r="M351" i="21" s="1"/>
  <c r="L353" i="21"/>
  <c r="L352" i="21" s="1"/>
  <c r="L351" i="21" s="1"/>
  <c r="K353" i="21"/>
  <c r="K352" i="21" s="1"/>
  <c r="K351" i="21" s="1"/>
  <c r="I353" i="21"/>
  <c r="I352" i="21" s="1"/>
  <c r="I351" i="21" s="1"/>
  <c r="H353" i="21"/>
  <c r="G353" i="21"/>
  <c r="G352" i="21" s="1"/>
  <c r="G351" i="21" s="1"/>
  <c r="F353" i="21"/>
  <c r="F352" i="21" s="1"/>
  <c r="F351" i="21" s="1"/>
  <c r="E353" i="21"/>
  <c r="E352" i="21" s="1"/>
  <c r="E351" i="21" s="1"/>
  <c r="Q352" i="21"/>
  <c r="Q351" i="21" s="1"/>
  <c r="H352" i="21"/>
  <c r="H351" i="21" s="1"/>
  <c r="V350" i="21"/>
  <c r="V349" i="21" s="1"/>
  <c r="V348" i="21" s="1"/>
  <c r="V347" i="21" s="1"/>
  <c r="O350" i="21"/>
  <c r="O349" i="21" s="1"/>
  <c r="O348" i="21" s="1"/>
  <c r="O347" i="21" s="1"/>
  <c r="J350" i="21"/>
  <c r="E350" i="21"/>
  <c r="E349" i="21" s="1"/>
  <c r="E348" i="21" s="1"/>
  <c r="E347" i="21" s="1"/>
  <c r="X349" i="21"/>
  <c r="W349" i="21"/>
  <c r="W348" i="21" s="1"/>
  <c r="W347" i="21" s="1"/>
  <c r="U349" i="21"/>
  <c r="U348" i="21" s="1"/>
  <c r="U347" i="21" s="1"/>
  <c r="T349" i="21"/>
  <c r="T348" i="21" s="1"/>
  <c r="T347" i="21" s="1"/>
  <c r="S349" i="21"/>
  <c r="S348" i="21" s="1"/>
  <c r="S347" i="21" s="1"/>
  <c r="R349" i="21"/>
  <c r="Q349" i="21"/>
  <c r="Q348" i="21" s="1"/>
  <c r="Q347" i="21" s="1"/>
  <c r="P349" i="21"/>
  <c r="P348" i="21" s="1"/>
  <c r="P347" i="21" s="1"/>
  <c r="N349" i="21"/>
  <c r="N348" i="21" s="1"/>
  <c r="N347" i="21" s="1"/>
  <c r="M349" i="21"/>
  <c r="M348" i="21" s="1"/>
  <c r="M347" i="21" s="1"/>
  <c r="L349" i="21"/>
  <c r="L348" i="21" s="1"/>
  <c r="L347" i="21" s="1"/>
  <c r="K349" i="21"/>
  <c r="K348" i="21" s="1"/>
  <c r="K347" i="21" s="1"/>
  <c r="I349" i="21"/>
  <c r="I348" i="21" s="1"/>
  <c r="I347" i="21" s="1"/>
  <c r="H349" i="21"/>
  <c r="H348" i="21" s="1"/>
  <c r="H347" i="21" s="1"/>
  <c r="G349" i="21"/>
  <c r="G348" i="21" s="1"/>
  <c r="G347" i="21" s="1"/>
  <c r="F349" i="21"/>
  <c r="X348" i="21"/>
  <c r="X347" i="21" s="1"/>
  <c r="R348" i="21"/>
  <c r="R347" i="21" s="1"/>
  <c r="F348" i="21"/>
  <c r="F347" i="21" s="1"/>
  <c r="V346" i="21"/>
  <c r="O346" i="21"/>
  <c r="J346" i="21"/>
  <c r="E346" i="21"/>
  <c r="V345" i="21"/>
  <c r="V344" i="21" s="1"/>
  <c r="V343" i="21" s="1"/>
  <c r="V342" i="21" s="1"/>
  <c r="O345" i="21"/>
  <c r="O344" i="21" s="1"/>
  <c r="O343" i="21" s="1"/>
  <c r="O342" i="21" s="1"/>
  <c r="J345" i="21"/>
  <c r="E345" i="21"/>
  <c r="X344" i="21"/>
  <c r="X343" i="21" s="1"/>
  <c r="X342" i="21" s="1"/>
  <c r="W344" i="21"/>
  <c r="U344" i="21"/>
  <c r="T344" i="21"/>
  <c r="T343" i="21" s="1"/>
  <c r="T342" i="21" s="1"/>
  <c r="S344" i="21"/>
  <c r="S343" i="21" s="1"/>
  <c r="S342" i="21" s="1"/>
  <c r="R344" i="21"/>
  <c r="R343" i="21" s="1"/>
  <c r="R342" i="21" s="1"/>
  <c r="Q344" i="21"/>
  <c r="Q343" i="21" s="1"/>
  <c r="Q342" i="21" s="1"/>
  <c r="P344" i="21"/>
  <c r="P343" i="21" s="1"/>
  <c r="P342" i="21" s="1"/>
  <c r="N344" i="21"/>
  <c r="N343" i="21" s="1"/>
  <c r="N342" i="21" s="1"/>
  <c r="M344" i="21"/>
  <c r="M343" i="21" s="1"/>
  <c r="M342" i="21" s="1"/>
  <c r="L344" i="21"/>
  <c r="L343" i="21" s="1"/>
  <c r="L342" i="21" s="1"/>
  <c r="K344" i="21"/>
  <c r="K343" i="21" s="1"/>
  <c r="K342" i="21" s="1"/>
  <c r="I344" i="21"/>
  <c r="I343" i="21" s="1"/>
  <c r="I342" i="21" s="1"/>
  <c r="H344" i="21"/>
  <c r="H343" i="21" s="1"/>
  <c r="H342" i="21" s="1"/>
  <c r="G344" i="21"/>
  <c r="G343" i="21" s="1"/>
  <c r="G342" i="21" s="1"/>
  <c r="F344" i="21"/>
  <c r="E344" i="21"/>
  <c r="E343" i="21" s="1"/>
  <c r="E342" i="21" s="1"/>
  <c r="W343" i="21"/>
  <c r="W342" i="21" s="1"/>
  <c r="U343" i="21"/>
  <c r="U342" i="21" s="1"/>
  <c r="F343" i="21"/>
  <c r="F342" i="21" s="1"/>
  <c r="V341" i="21"/>
  <c r="O341" i="21"/>
  <c r="J341" i="21"/>
  <c r="E341" i="21"/>
  <c r="V340" i="21"/>
  <c r="V339" i="21" s="1"/>
  <c r="V338" i="21" s="1"/>
  <c r="V337" i="21" s="1"/>
  <c r="O340" i="21"/>
  <c r="J340" i="21"/>
  <c r="J339" i="21" s="1"/>
  <c r="J338" i="21" s="1"/>
  <c r="J337" i="21" s="1"/>
  <c r="E340" i="21"/>
  <c r="X339" i="21"/>
  <c r="X338" i="21" s="1"/>
  <c r="X337" i="21" s="1"/>
  <c r="W339" i="21"/>
  <c r="U339" i="21"/>
  <c r="U338" i="21" s="1"/>
  <c r="U337" i="21" s="1"/>
  <c r="T339" i="21"/>
  <c r="S339" i="21"/>
  <c r="S338" i="21" s="1"/>
  <c r="S337" i="21" s="1"/>
  <c r="R339" i="21"/>
  <c r="R338" i="21" s="1"/>
  <c r="R337" i="21" s="1"/>
  <c r="Q339" i="21"/>
  <c r="Q338" i="21" s="1"/>
  <c r="Q337" i="21" s="1"/>
  <c r="P339" i="21"/>
  <c r="N339" i="21"/>
  <c r="M339" i="21"/>
  <c r="M338" i="21" s="1"/>
  <c r="M337" i="21" s="1"/>
  <c r="L339" i="21"/>
  <c r="L338" i="21" s="1"/>
  <c r="L337" i="21" s="1"/>
  <c r="K339" i="21"/>
  <c r="K338" i="21" s="1"/>
  <c r="K337" i="21" s="1"/>
  <c r="I339" i="21"/>
  <c r="I338" i="21" s="1"/>
  <c r="I337" i="21" s="1"/>
  <c r="H339" i="21"/>
  <c r="H338" i="21" s="1"/>
  <c r="H337" i="21" s="1"/>
  <c r="G339" i="21"/>
  <c r="F339" i="21"/>
  <c r="F338" i="21" s="1"/>
  <c r="F337" i="21" s="1"/>
  <c r="E339" i="21"/>
  <c r="E338" i="21" s="1"/>
  <c r="E337" i="21" s="1"/>
  <c r="W338" i="21"/>
  <c r="W337" i="21" s="1"/>
  <c r="T338" i="21"/>
  <c r="P338" i="21"/>
  <c r="N338" i="21"/>
  <c r="N337" i="21" s="1"/>
  <c r="G338" i="21"/>
  <c r="G337" i="21" s="1"/>
  <c r="T337" i="21"/>
  <c r="P337" i="21"/>
  <c r="V336" i="21"/>
  <c r="O336" i="21"/>
  <c r="J336" i="21"/>
  <c r="E336" i="21"/>
  <c r="V335" i="21"/>
  <c r="V334" i="21" s="1"/>
  <c r="V333" i="21" s="1"/>
  <c r="V332" i="21" s="1"/>
  <c r="O335" i="21"/>
  <c r="J335" i="21"/>
  <c r="E335" i="21"/>
  <c r="X334" i="21"/>
  <c r="X333" i="21" s="1"/>
  <c r="X332" i="21" s="1"/>
  <c r="W334" i="21"/>
  <c r="W333" i="21" s="1"/>
  <c r="W332" i="21" s="1"/>
  <c r="U334" i="21"/>
  <c r="T334" i="21"/>
  <c r="T333" i="21" s="1"/>
  <c r="T332" i="21" s="1"/>
  <c r="S334" i="21"/>
  <c r="S333" i="21" s="1"/>
  <c r="S332" i="21" s="1"/>
  <c r="R334" i="21"/>
  <c r="R333" i="21" s="1"/>
  <c r="R332" i="21" s="1"/>
  <c r="Q334" i="21"/>
  <c r="P334" i="21"/>
  <c r="P333" i="21" s="1"/>
  <c r="P332" i="21" s="1"/>
  <c r="O334" i="21"/>
  <c r="O333" i="21" s="1"/>
  <c r="O332" i="21" s="1"/>
  <c r="N334" i="21"/>
  <c r="N333" i="21" s="1"/>
  <c r="N332" i="21" s="1"/>
  <c r="M334" i="21"/>
  <c r="L334" i="21"/>
  <c r="L333" i="21" s="1"/>
  <c r="L332" i="21" s="1"/>
  <c r="K334" i="21"/>
  <c r="K333" i="21" s="1"/>
  <c r="K332" i="21" s="1"/>
  <c r="J334" i="21"/>
  <c r="J333" i="21" s="1"/>
  <c r="J332" i="21" s="1"/>
  <c r="I334" i="21"/>
  <c r="H334" i="21"/>
  <c r="H333" i="21" s="1"/>
  <c r="H332" i="21" s="1"/>
  <c r="G334" i="21"/>
  <c r="G333" i="21" s="1"/>
  <c r="G332" i="21" s="1"/>
  <c r="F334" i="21"/>
  <c r="F333" i="21" s="1"/>
  <c r="F332" i="21" s="1"/>
  <c r="U333" i="21"/>
  <c r="U332" i="21" s="1"/>
  <c r="Q333" i="21"/>
  <c r="Q332" i="21" s="1"/>
  <c r="M333" i="21"/>
  <c r="M332" i="21" s="1"/>
  <c r="I333" i="21"/>
  <c r="I332" i="21"/>
  <c r="V331" i="21"/>
  <c r="O331" i="21"/>
  <c r="J331" i="21"/>
  <c r="E331" i="21"/>
  <c r="V330" i="21"/>
  <c r="V329" i="21" s="1"/>
  <c r="V328" i="21" s="1"/>
  <c r="V327" i="21" s="1"/>
  <c r="O330" i="21"/>
  <c r="J330" i="21"/>
  <c r="J329" i="21" s="1"/>
  <c r="J328" i="21" s="1"/>
  <c r="J327" i="21" s="1"/>
  <c r="E330" i="21"/>
  <c r="X329" i="21"/>
  <c r="X328" i="21" s="1"/>
  <c r="X327" i="21" s="1"/>
  <c r="W329" i="21"/>
  <c r="W328" i="21" s="1"/>
  <c r="W327" i="21" s="1"/>
  <c r="U329" i="21"/>
  <c r="U328" i="21" s="1"/>
  <c r="U327" i="21" s="1"/>
  <c r="T329" i="21"/>
  <c r="T328" i="21" s="1"/>
  <c r="T327" i="21" s="1"/>
  <c r="S329" i="21"/>
  <c r="S328" i="21" s="1"/>
  <c r="S327" i="21" s="1"/>
  <c r="R329" i="21"/>
  <c r="R328" i="21" s="1"/>
  <c r="R327" i="21" s="1"/>
  <c r="Q329" i="21"/>
  <c r="Q328" i="21" s="1"/>
  <c r="Q327" i="21" s="1"/>
  <c r="P329" i="21"/>
  <c r="P328" i="21" s="1"/>
  <c r="P327" i="21" s="1"/>
  <c r="O329" i="21"/>
  <c r="O328" i="21" s="1"/>
  <c r="O327" i="21" s="1"/>
  <c r="N329" i="21"/>
  <c r="N328" i="21" s="1"/>
  <c r="N327" i="21" s="1"/>
  <c r="M329" i="21"/>
  <c r="L329" i="21"/>
  <c r="L328" i="21" s="1"/>
  <c r="L327" i="21" s="1"/>
  <c r="K329" i="21"/>
  <c r="K328" i="21" s="1"/>
  <c r="K327" i="21" s="1"/>
  <c r="I329" i="21"/>
  <c r="I328" i="21" s="1"/>
  <c r="I327" i="21" s="1"/>
  <c r="H329" i="21"/>
  <c r="H328" i="21" s="1"/>
  <c r="H327" i="21" s="1"/>
  <c r="G329" i="21"/>
  <c r="G328" i="21" s="1"/>
  <c r="G327" i="21" s="1"/>
  <c r="F329" i="21"/>
  <c r="F328" i="21" s="1"/>
  <c r="F327" i="21" s="1"/>
  <c r="V326" i="21"/>
  <c r="O326" i="21"/>
  <c r="J326" i="21"/>
  <c r="E326" i="21"/>
  <c r="V325" i="21"/>
  <c r="O325" i="21"/>
  <c r="J325" i="21"/>
  <c r="E325" i="21"/>
  <c r="X324" i="21"/>
  <c r="W324" i="21"/>
  <c r="U324" i="21"/>
  <c r="U323" i="21" s="1"/>
  <c r="U322" i="21" s="1"/>
  <c r="T324" i="21"/>
  <c r="T323" i="21" s="1"/>
  <c r="T322" i="21" s="1"/>
  <c r="S324" i="21"/>
  <c r="R324" i="21"/>
  <c r="R323" i="21" s="1"/>
  <c r="R322" i="21" s="1"/>
  <c r="Q324" i="21"/>
  <c r="Q323" i="21" s="1"/>
  <c r="Q322" i="21" s="1"/>
  <c r="P324" i="21"/>
  <c r="P323" i="21" s="1"/>
  <c r="P322" i="21" s="1"/>
  <c r="N324" i="21"/>
  <c r="M324" i="21"/>
  <c r="M323" i="21" s="1"/>
  <c r="M322" i="21" s="1"/>
  <c r="L324" i="21"/>
  <c r="L323" i="21" s="1"/>
  <c r="L322" i="21" s="1"/>
  <c r="K324" i="21"/>
  <c r="K323" i="21" s="1"/>
  <c r="K322" i="21" s="1"/>
  <c r="I324" i="21"/>
  <c r="I323" i="21" s="1"/>
  <c r="I322" i="21" s="1"/>
  <c r="H324" i="21"/>
  <c r="H323" i="21" s="1"/>
  <c r="H322" i="21" s="1"/>
  <c r="G324" i="21"/>
  <c r="G323" i="21" s="1"/>
  <c r="G322" i="21" s="1"/>
  <c r="F324" i="21"/>
  <c r="F323" i="21" s="1"/>
  <c r="F322" i="21" s="1"/>
  <c r="X323" i="21"/>
  <c r="X322" i="21" s="1"/>
  <c r="W323" i="21"/>
  <c r="W322" i="21" s="1"/>
  <c r="S323" i="21"/>
  <c r="S322" i="21" s="1"/>
  <c r="N323" i="21"/>
  <c r="N322" i="21" s="1"/>
  <c r="V321" i="21"/>
  <c r="O321" i="21"/>
  <c r="J321" i="21"/>
  <c r="E321" i="21"/>
  <c r="V320" i="21"/>
  <c r="V319" i="21" s="1"/>
  <c r="V318" i="21" s="1"/>
  <c r="V317" i="21" s="1"/>
  <c r="O320" i="21"/>
  <c r="O319" i="21" s="1"/>
  <c r="O318" i="21" s="1"/>
  <c r="O317" i="21" s="1"/>
  <c r="J320" i="21"/>
  <c r="E320" i="21"/>
  <c r="X319" i="21"/>
  <c r="X318" i="21" s="1"/>
  <c r="X317" i="21" s="1"/>
  <c r="W319" i="21"/>
  <c r="W318" i="21" s="1"/>
  <c r="W317" i="21" s="1"/>
  <c r="U319" i="21"/>
  <c r="T319" i="21"/>
  <c r="T318" i="21" s="1"/>
  <c r="T317" i="21" s="1"/>
  <c r="S319" i="21"/>
  <c r="S318" i="21" s="1"/>
  <c r="S317" i="21" s="1"/>
  <c r="R319" i="21"/>
  <c r="R318" i="21" s="1"/>
  <c r="R317" i="21" s="1"/>
  <c r="Q319" i="21"/>
  <c r="Q318" i="21" s="1"/>
  <c r="Q317" i="21" s="1"/>
  <c r="P319" i="21"/>
  <c r="P318" i="21" s="1"/>
  <c r="P317" i="21" s="1"/>
  <c r="N319" i="21"/>
  <c r="M319" i="21"/>
  <c r="M318" i="21" s="1"/>
  <c r="M317" i="21" s="1"/>
  <c r="L319" i="21"/>
  <c r="L318" i="21" s="1"/>
  <c r="L317" i="21" s="1"/>
  <c r="K319" i="21"/>
  <c r="K318" i="21" s="1"/>
  <c r="K317" i="21" s="1"/>
  <c r="J319" i="21"/>
  <c r="J318" i="21" s="1"/>
  <c r="J317" i="21" s="1"/>
  <c r="I319" i="21"/>
  <c r="I318" i="21" s="1"/>
  <c r="I317" i="21" s="1"/>
  <c r="H319" i="21"/>
  <c r="H318" i="21" s="1"/>
  <c r="H317" i="21" s="1"/>
  <c r="G319" i="21"/>
  <c r="G318" i="21" s="1"/>
  <c r="G317" i="21" s="1"/>
  <c r="F319" i="21"/>
  <c r="F318" i="21" s="1"/>
  <c r="F317" i="21" s="1"/>
  <c r="U318" i="21"/>
  <c r="U317" i="21" s="1"/>
  <c r="V316" i="21"/>
  <c r="O316" i="21"/>
  <c r="J316" i="21"/>
  <c r="E316" i="21"/>
  <c r="V315" i="21"/>
  <c r="V314" i="21" s="1"/>
  <c r="O315" i="21"/>
  <c r="J315" i="21"/>
  <c r="E315" i="21"/>
  <c r="X314" i="21"/>
  <c r="W314" i="21"/>
  <c r="U314" i="21"/>
  <c r="T314" i="21"/>
  <c r="S314" i="21"/>
  <c r="R314" i="21"/>
  <c r="Q314" i="21"/>
  <c r="P314" i="21"/>
  <c r="O314" i="21"/>
  <c r="N314" i="21"/>
  <c r="M314" i="21"/>
  <c r="L314" i="21"/>
  <c r="L310" i="21" s="1"/>
  <c r="L309" i="21" s="1"/>
  <c r="K314" i="21"/>
  <c r="I314" i="21"/>
  <c r="H314" i="21"/>
  <c r="G314" i="21"/>
  <c r="F314" i="21"/>
  <c r="V313" i="21"/>
  <c r="O313" i="21"/>
  <c r="J313" i="21"/>
  <c r="E313" i="21"/>
  <c r="V312" i="21"/>
  <c r="O312" i="21"/>
  <c r="J312" i="21"/>
  <c r="E312" i="21"/>
  <c r="X311" i="21"/>
  <c r="W311" i="21"/>
  <c r="W310" i="21" s="1"/>
  <c r="W309" i="21" s="1"/>
  <c r="V311" i="21"/>
  <c r="U311" i="21"/>
  <c r="T311" i="21"/>
  <c r="S311" i="21"/>
  <c r="R311" i="21"/>
  <c r="R310" i="21" s="1"/>
  <c r="R309" i="21" s="1"/>
  <c r="Q311" i="21"/>
  <c r="P311" i="21"/>
  <c r="O311" i="21"/>
  <c r="N311" i="21"/>
  <c r="N310" i="21" s="1"/>
  <c r="N309" i="21" s="1"/>
  <c r="M311" i="21"/>
  <c r="L311" i="21"/>
  <c r="K311" i="21"/>
  <c r="J311" i="21"/>
  <c r="I311" i="21"/>
  <c r="I310" i="21" s="1"/>
  <c r="I309" i="21" s="1"/>
  <c r="H311" i="21"/>
  <c r="G311" i="21"/>
  <c r="F311" i="21"/>
  <c r="V308" i="21"/>
  <c r="V307" i="21" s="1"/>
  <c r="V306" i="21" s="1"/>
  <c r="V305" i="21" s="1"/>
  <c r="O308" i="21"/>
  <c r="O307" i="21" s="1"/>
  <c r="O306" i="21" s="1"/>
  <c r="O305" i="21" s="1"/>
  <c r="J308" i="21"/>
  <c r="J307" i="21" s="1"/>
  <c r="J306" i="21" s="1"/>
  <c r="J305" i="21" s="1"/>
  <c r="E308" i="21"/>
  <c r="X307" i="21"/>
  <c r="X306" i="21" s="1"/>
  <c r="X305" i="21" s="1"/>
  <c r="W307" i="21"/>
  <c r="W306" i="21" s="1"/>
  <c r="W305" i="21" s="1"/>
  <c r="U307" i="21"/>
  <c r="U306" i="21" s="1"/>
  <c r="U305" i="21" s="1"/>
  <c r="T307" i="21"/>
  <c r="T306" i="21" s="1"/>
  <c r="S307" i="21"/>
  <c r="S306" i="21" s="1"/>
  <c r="S305" i="21" s="1"/>
  <c r="R307" i="21"/>
  <c r="R306" i="21" s="1"/>
  <c r="R305" i="21" s="1"/>
  <c r="Q307" i="21"/>
  <c r="Q306" i="21" s="1"/>
  <c r="Q305" i="21" s="1"/>
  <c r="P307" i="21"/>
  <c r="N307" i="21"/>
  <c r="N306" i="21" s="1"/>
  <c r="N305" i="21" s="1"/>
  <c r="M307" i="21"/>
  <c r="M306" i="21" s="1"/>
  <c r="M305" i="21" s="1"/>
  <c r="L307" i="21"/>
  <c r="L306" i="21" s="1"/>
  <c r="L305" i="21" s="1"/>
  <c r="K307" i="21"/>
  <c r="K306" i="21" s="1"/>
  <c r="K305" i="21" s="1"/>
  <c r="I307" i="21"/>
  <c r="H307" i="21"/>
  <c r="H306" i="21" s="1"/>
  <c r="H305" i="21" s="1"/>
  <c r="G307" i="21"/>
  <c r="G306" i="21" s="1"/>
  <c r="G305" i="21" s="1"/>
  <c r="F307" i="21"/>
  <c r="F306" i="21" s="1"/>
  <c r="F305" i="21" s="1"/>
  <c r="P306" i="21"/>
  <c r="P305" i="21" s="1"/>
  <c r="I306" i="21"/>
  <c r="I305" i="21" s="1"/>
  <c r="T305" i="21"/>
  <c r="V304" i="21"/>
  <c r="V303" i="21" s="1"/>
  <c r="V302" i="21" s="1"/>
  <c r="O304" i="21"/>
  <c r="O303" i="21" s="1"/>
  <c r="O302" i="21" s="1"/>
  <c r="J304" i="21"/>
  <c r="E304" i="21"/>
  <c r="X303" i="21"/>
  <c r="X302" i="21" s="1"/>
  <c r="W303" i="21"/>
  <c r="W302" i="21" s="1"/>
  <c r="U303" i="21"/>
  <c r="U302" i="21" s="1"/>
  <c r="T303" i="21"/>
  <c r="T302" i="21" s="1"/>
  <c r="S303" i="21"/>
  <c r="S302" i="21" s="1"/>
  <c r="R303" i="21"/>
  <c r="R302" i="21" s="1"/>
  <c r="Q303" i="21"/>
  <c r="Q302" i="21" s="1"/>
  <c r="P303" i="21"/>
  <c r="P302" i="21" s="1"/>
  <c r="N303" i="21"/>
  <c r="N302" i="21" s="1"/>
  <c r="M303" i="21"/>
  <c r="M302" i="21" s="1"/>
  <c r="L303" i="21"/>
  <c r="L302" i="21" s="1"/>
  <c r="K303" i="21"/>
  <c r="K302" i="21" s="1"/>
  <c r="J303" i="21"/>
  <c r="J302" i="21" s="1"/>
  <c r="I303" i="21"/>
  <c r="I302" i="21" s="1"/>
  <c r="H303" i="21"/>
  <c r="H302" i="21" s="1"/>
  <c r="G303" i="21"/>
  <c r="G302" i="21" s="1"/>
  <c r="F303" i="21"/>
  <c r="F302" i="21" s="1"/>
  <c r="X301" i="21"/>
  <c r="X148" i="21" s="1"/>
  <c r="W301" i="21"/>
  <c r="W148" i="21" s="1"/>
  <c r="O301" i="21"/>
  <c r="O300" i="21" s="1"/>
  <c r="O299" i="21" s="1"/>
  <c r="J301" i="21"/>
  <c r="E301" i="21"/>
  <c r="W300" i="21"/>
  <c r="W299" i="21" s="1"/>
  <c r="U300" i="21"/>
  <c r="U299" i="21" s="1"/>
  <c r="U298" i="21" s="1"/>
  <c r="U297" i="21" s="1"/>
  <c r="T300" i="21"/>
  <c r="T299" i="21" s="1"/>
  <c r="S300" i="21"/>
  <c r="S299" i="21" s="1"/>
  <c r="R300" i="21"/>
  <c r="R299" i="21" s="1"/>
  <c r="Q300" i="21"/>
  <c r="Q299" i="21" s="1"/>
  <c r="Q298" i="21" s="1"/>
  <c r="Q297" i="21" s="1"/>
  <c r="P300" i="21"/>
  <c r="P299" i="21" s="1"/>
  <c r="N300" i="21"/>
  <c r="N299" i="21" s="1"/>
  <c r="M300" i="21"/>
  <c r="M299" i="21" s="1"/>
  <c r="M298" i="21" s="1"/>
  <c r="M297" i="21" s="1"/>
  <c r="L300" i="21"/>
  <c r="L299" i="21" s="1"/>
  <c r="K300" i="21"/>
  <c r="K299" i="21" s="1"/>
  <c r="I300" i="21"/>
  <c r="I299" i="21" s="1"/>
  <c r="I298" i="21" s="1"/>
  <c r="I297" i="21" s="1"/>
  <c r="H300" i="21"/>
  <c r="H299" i="21" s="1"/>
  <c r="G300" i="21"/>
  <c r="G299" i="21" s="1"/>
  <c r="F300" i="21"/>
  <c r="F299" i="21" s="1"/>
  <c r="E300" i="21"/>
  <c r="E299" i="21" s="1"/>
  <c r="V296" i="21"/>
  <c r="V295" i="21" s="1"/>
  <c r="O296" i="21"/>
  <c r="O295" i="21" s="1"/>
  <c r="J296" i="21"/>
  <c r="J295" i="21" s="1"/>
  <c r="E296" i="21"/>
  <c r="X295" i="21"/>
  <c r="W295" i="21"/>
  <c r="U295" i="21"/>
  <c r="T295" i="21"/>
  <c r="S295" i="21"/>
  <c r="R295" i="21"/>
  <c r="Q295" i="21"/>
  <c r="P295" i="21"/>
  <c r="N295" i="21"/>
  <c r="M295" i="21"/>
  <c r="L295" i="21"/>
  <c r="K295" i="21"/>
  <c r="I295" i="21"/>
  <c r="H295" i="21"/>
  <c r="G295" i="21"/>
  <c r="F295" i="21"/>
  <c r="V294" i="21"/>
  <c r="O294" i="21"/>
  <c r="J294" i="21"/>
  <c r="E294" i="21"/>
  <c r="V293" i="21"/>
  <c r="V292" i="21" s="1"/>
  <c r="V291" i="21" s="1"/>
  <c r="O293" i="21"/>
  <c r="O292" i="21" s="1"/>
  <c r="O291" i="21" s="1"/>
  <c r="J293" i="21"/>
  <c r="E293" i="21"/>
  <c r="X292" i="21"/>
  <c r="X291" i="21" s="1"/>
  <c r="W292" i="21"/>
  <c r="W291" i="21" s="1"/>
  <c r="U292" i="21"/>
  <c r="T292" i="21"/>
  <c r="S292" i="21"/>
  <c r="S291" i="21" s="1"/>
  <c r="R292" i="21"/>
  <c r="Q292" i="21"/>
  <c r="P292" i="21"/>
  <c r="P291" i="21" s="1"/>
  <c r="N292" i="21"/>
  <c r="N291" i="21" s="1"/>
  <c r="M292" i="21"/>
  <c r="M29" i="21" s="1"/>
  <c r="L292" i="21"/>
  <c r="K292" i="21"/>
  <c r="K291" i="21" s="1"/>
  <c r="I292" i="21"/>
  <c r="H292" i="21"/>
  <c r="H29" i="21" s="1"/>
  <c r="G292" i="21"/>
  <c r="F292" i="21"/>
  <c r="F291" i="21" s="1"/>
  <c r="V290" i="21"/>
  <c r="V289" i="21" s="1"/>
  <c r="V288" i="21" s="1"/>
  <c r="O290" i="21"/>
  <c r="O289" i="21" s="1"/>
  <c r="O288" i="21" s="1"/>
  <c r="J290" i="21"/>
  <c r="J289" i="21" s="1"/>
  <c r="J288" i="21" s="1"/>
  <c r="E290" i="21"/>
  <c r="X289" i="21"/>
  <c r="X288" i="21" s="1"/>
  <c r="W289" i="21"/>
  <c r="U289" i="21"/>
  <c r="T289" i="21"/>
  <c r="T288" i="21" s="1"/>
  <c r="S289" i="21"/>
  <c r="S288" i="21" s="1"/>
  <c r="R289" i="21"/>
  <c r="R288" i="21" s="1"/>
  <c r="Q289" i="21"/>
  <c r="Q288" i="21" s="1"/>
  <c r="P289" i="21"/>
  <c r="P288" i="21" s="1"/>
  <c r="N289" i="21"/>
  <c r="N288" i="21" s="1"/>
  <c r="M289" i="21"/>
  <c r="M288" i="21" s="1"/>
  <c r="L289" i="21"/>
  <c r="L288" i="21" s="1"/>
  <c r="K289" i="21"/>
  <c r="K288" i="21" s="1"/>
  <c r="I289" i="21"/>
  <c r="I288" i="21" s="1"/>
  <c r="H289" i="21"/>
  <c r="H288" i="21" s="1"/>
  <c r="G289" i="21"/>
  <c r="G288" i="21" s="1"/>
  <c r="F289" i="21"/>
  <c r="F288" i="21" s="1"/>
  <c r="W288" i="21"/>
  <c r="U288" i="21"/>
  <c r="V286" i="21"/>
  <c r="V285" i="21" s="1"/>
  <c r="V284" i="21" s="1"/>
  <c r="V283" i="21" s="1"/>
  <c r="O286" i="21"/>
  <c r="O285" i="21" s="1"/>
  <c r="O284" i="21" s="1"/>
  <c r="O283" i="21" s="1"/>
  <c r="J286" i="21"/>
  <c r="J285" i="21" s="1"/>
  <c r="J284" i="21" s="1"/>
  <c r="J283" i="21" s="1"/>
  <c r="E286" i="21"/>
  <c r="X285" i="21"/>
  <c r="X284" i="21" s="1"/>
  <c r="X283" i="21" s="1"/>
  <c r="W285" i="21"/>
  <c r="W284" i="21" s="1"/>
  <c r="W283" i="21" s="1"/>
  <c r="U285" i="21"/>
  <c r="U284" i="21" s="1"/>
  <c r="U283" i="21" s="1"/>
  <c r="T285" i="21"/>
  <c r="T284" i="21" s="1"/>
  <c r="T283" i="21" s="1"/>
  <c r="S285" i="21"/>
  <c r="S284" i="21" s="1"/>
  <c r="S283" i="21" s="1"/>
  <c r="R285" i="21"/>
  <c r="R284" i="21" s="1"/>
  <c r="R283" i="21" s="1"/>
  <c r="Q285" i="21"/>
  <c r="Q284" i="21" s="1"/>
  <c r="Q283" i="21" s="1"/>
  <c r="P285" i="21"/>
  <c r="P284" i="21" s="1"/>
  <c r="P283" i="21" s="1"/>
  <c r="N285" i="21"/>
  <c r="N284" i="21" s="1"/>
  <c r="N283" i="21" s="1"/>
  <c r="M285" i="21"/>
  <c r="M284" i="21" s="1"/>
  <c r="M283" i="21" s="1"/>
  <c r="L285" i="21"/>
  <c r="L284" i="21" s="1"/>
  <c r="L283" i="21" s="1"/>
  <c r="K285" i="21"/>
  <c r="K284" i="21" s="1"/>
  <c r="K283" i="21" s="1"/>
  <c r="I285" i="21"/>
  <c r="I284" i="21" s="1"/>
  <c r="I283" i="21" s="1"/>
  <c r="H285" i="21"/>
  <c r="H284" i="21" s="1"/>
  <c r="H283" i="21" s="1"/>
  <c r="G285" i="21"/>
  <c r="G284" i="21" s="1"/>
  <c r="G283" i="21" s="1"/>
  <c r="F285" i="21"/>
  <c r="F284" i="21" s="1"/>
  <c r="F283" i="21" s="1"/>
  <c r="V282" i="21"/>
  <c r="O282" i="21"/>
  <c r="J282" i="21"/>
  <c r="E282" i="21"/>
  <c r="V281" i="21"/>
  <c r="O281" i="21"/>
  <c r="J281" i="21"/>
  <c r="E281" i="21"/>
  <c r="V280" i="21"/>
  <c r="O280" i="21"/>
  <c r="J280" i="21"/>
  <c r="E280" i="21"/>
  <c r="V279" i="21"/>
  <c r="O279" i="21"/>
  <c r="J279" i="21"/>
  <c r="E279" i="21"/>
  <c r="V278" i="21"/>
  <c r="O278" i="21"/>
  <c r="J278" i="21"/>
  <c r="E278" i="21"/>
  <c r="V277" i="21"/>
  <c r="O277" i="21"/>
  <c r="J277" i="21"/>
  <c r="E277" i="21"/>
  <c r="V276" i="21"/>
  <c r="O276" i="21"/>
  <c r="J276" i="21"/>
  <c r="E276" i="21"/>
  <c r="V275" i="21"/>
  <c r="O275" i="21"/>
  <c r="J275" i="21"/>
  <c r="J274" i="21" s="1"/>
  <c r="J273" i="21" s="1"/>
  <c r="E275" i="21"/>
  <c r="X274" i="21"/>
  <c r="X273" i="21" s="1"/>
  <c r="W274" i="21"/>
  <c r="W273" i="21" s="1"/>
  <c r="U274" i="21"/>
  <c r="U273" i="21" s="1"/>
  <c r="T274" i="21"/>
  <c r="T273" i="21" s="1"/>
  <c r="S274" i="21"/>
  <c r="S273" i="21" s="1"/>
  <c r="R274" i="21"/>
  <c r="R273" i="21" s="1"/>
  <c r="Q274" i="21"/>
  <c r="Q273" i="21" s="1"/>
  <c r="P274" i="21"/>
  <c r="P273" i="21" s="1"/>
  <c r="N274" i="21"/>
  <c r="N273" i="21" s="1"/>
  <c r="M274" i="21"/>
  <c r="M273" i="21" s="1"/>
  <c r="L274" i="21"/>
  <c r="L273" i="21" s="1"/>
  <c r="K274" i="21"/>
  <c r="I274" i="21"/>
  <c r="I273" i="21" s="1"/>
  <c r="H274" i="21"/>
  <c r="G274" i="21"/>
  <c r="G273" i="21" s="1"/>
  <c r="F274" i="21"/>
  <c r="F273" i="21" s="1"/>
  <c r="K273" i="21"/>
  <c r="H273" i="21"/>
  <c r="V272" i="21"/>
  <c r="O272" i="21"/>
  <c r="J272" i="21"/>
  <c r="E272" i="21"/>
  <c r="V271" i="21"/>
  <c r="V270" i="21" s="1"/>
  <c r="O271" i="21"/>
  <c r="O270" i="21" s="1"/>
  <c r="J271" i="21"/>
  <c r="J270" i="21" s="1"/>
  <c r="E271" i="21"/>
  <c r="X270" i="21"/>
  <c r="W270" i="21"/>
  <c r="U270" i="21"/>
  <c r="T270" i="21"/>
  <c r="S270" i="21"/>
  <c r="R270" i="21"/>
  <c r="Q270" i="21"/>
  <c r="P270" i="21"/>
  <c r="N270" i="21"/>
  <c r="M270" i="21"/>
  <c r="L270" i="21"/>
  <c r="K270" i="21"/>
  <c r="I270" i="21"/>
  <c r="H270" i="21"/>
  <c r="G270" i="21"/>
  <c r="F270" i="21"/>
  <c r="V269" i="21"/>
  <c r="O269" i="21"/>
  <c r="J269" i="21"/>
  <c r="E269" i="21"/>
  <c r="V268" i="21"/>
  <c r="O268" i="21"/>
  <c r="O267" i="21" s="1"/>
  <c r="J268" i="21"/>
  <c r="J267" i="21" s="1"/>
  <c r="J266" i="21" s="1"/>
  <c r="E268" i="21"/>
  <c r="X267" i="21"/>
  <c r="W267" i="21"/>
  <c r="U267" i="21"/>
  <c r="U266" i="21" s="1"/>
  <c r="T267" i="21"/>
  <c r="S267" i="21"/>
  <c r="R267" i="21"/>
  <c r="Q267" i="21"/>
  <c r="Q266" i="21" s="1"/>
  <c r="Q265" i="21" s="1"/>
  <c r="P267" i="21"/>
  <c r="N267" i="21"/>
  <c r="N266" i="21" s="1"/>
  <c r="M267" i="21"/>
  <c r="M266" i="21" s="1"/>
  <c r="L267" i="21"/>
  <c r="L27" i="21" s="1"/>
  <c r="K267" i="21"/>
  <c r="K266" i="21" s="1"/>
  <c r="I267" i="21"/>
  <c r="I266" i="21" s="1"/>
  <c r="H267" i="21"/>
  <c r="G267" i="21"/>
  <c r="G27" i="21" s="1"/>
  <c r="F267" i="21"/>
  <c r="P266" i="21"/>
  <c r="H266" i="21"/>
  <c r="U265" i="21"/>
  <c r="V264" i="21"/>
  <c r="O264" i="21"/>
  <c r="J264" i="21"/>
  <c r="E264" i="21"/>
  <c r="V263" i="21"/>
  <c r="O263" i="21"/>
  <c r="J263" i="21"/>
  <c r="E263" i="21"/>
  <c r="V262" i="21"/>
  <c r="V261" i="21" s="1"/>
  <c r="O262" i="21"/>
  <c r="O261" i="21" s="1"/>
  <c r="O260" i="21" s="1"/>
  <c r="J262" i="21"/>
  <c r="J261" i="21" s="1"/>
  <c r="J260" i="21" s="1"/>
  <c r="E262" i="21"/>
  <c r="X261" i="21"/>
  <c r="X260" i="21" s="1"/>
  <c r="W261" i="21"/>
  <c r="W260" i="21" s="1"/>
  <c r="U261" i="21"/>
  <c r="U260" i="21" s="1"/>
  <c r="T261" i="21"/>
  <c r="T260" i="21" s="1"/>
  <c r="S261" i="21"/>
  <c r="S260" i="21" s="1"/>
  <c r="R261" i="21"/>
  <c r="Q261" i="21"/>
  <c r="P261" i="21"/>
  <c r="P260" i="21" s="1"/>
  <c r="N261" i="21"/>
  <c r="M261" i="21"/>
  <c r="M260" i="21" s="1"/>
  <c r="L261" i="21"/>
  <c r="L260" i="21" s="1"/>
  <c r="K261" i="21"/>
  <c r="K260" i="21" s="1"/>
  <c r="I261" i="21"/>
  <c r="H261" i="21"/>
  <c r="H260" i="21" s="1"/>
  <c r="G261" i="21"/>
  <c r="G260" i="21" s="1"/>
  <c r="F261" i="21"/>
  <c r="F260" i="21" s="1"/>
  <c r="V260" i="21"/>
  <c r="R260" i="21"/>
  <c r="Q260" i="21"/>
  <c r="N260" i="21"/>
  <c r="I260" i="21"/>
  <c r="V259" i="21"/>
  <c r="O259" i="21"/>
  <c r="J259" i="21"/>
  <c r="E259" i="21"/>
  <c r="V258" i="21"/>
  <c r="V257" i="21" s="1"/>
  <c r="O258" i="21"/>
  <c r="O257" i="21" s="1"/>
  <c r="J258" i="21"/>
  <c r="J257" i="21" s="1"/>
  <c r="E258" i="21"/>
  <c r="E257" i="21" s="1"/>
  <c r="X257" i="21"/>
  <c r="W257" i="21"/>
  <c r="U257" i="21"/>
  <c r="T257" i="21"/>
  <c r="S257" i="21"/>
  <c r="R257" i="21"/>
  <c r="Q257" i="21"/>
  <c r="P257" i="21"/>
  <c r="N257" i="21"/>
  <c r="M257" i="21"/>
  <c r="L257" i="21"/>
  <c r="K257" i="21"/>
  <c r="I257" i="21"/>
  <c r="H257" i="21"/>
  <c r="G257" i="21"/>
  <c r="F257" i="21"/>
  <c r="V256" i="21"/>
  <c r="V255" i="21" s="1"/>
  <c r="O256" i="21"/>
  <c r="O255" i="21" s="1"/>
  <c r="J256" i="21"/>
  <c r="J255" i="21" s="1"/>
  <c r="E256" i="21"/>
  <c r="X255" i="21"/>
  <c r="W255" i="21"/>
  <c r="U255" i="21"/>
  <c r="T255" i="21"/>
  <c r="S255" i="21"/>
  <c r="R255" i="21"/>
  <c r="Q255" i="21"/>
  <c r="P255" i="21"/>
  <c r="N255" i="21"/>
  <c r="M255" i="21"/>
  <c r="L255" i="21"/>
  <c r="K255" i="21"/>
  <c r="I255" i="21"/>
  <c r="H255" i="21"/>
  <c r="G255" i="21"/>
  <c r="F255" i="21"/>
  <c r="V254" i="21"/>
  <c r="O254" i="21"/>
  <c r="J254" i="21"/>
  <c r="E254" i="21"/>
  <c r="V253" i="21"/>
  <c r="V252" i="21" s="1"/>
  <c r="O253" i="21"/>
  <c r="O252" i="21" s="1"/>
  <c r="J253" i="21"/>
  <c r="J252" i="21" s="1"/>
  <c r="E253" i="21"/>
  <c r="E252" i="21" s="1"/>
  <c r="X252" i="21"/>
  <c r="W252" i="21"/>
  <c r="U252" i="21"/>
  <c r="T252" i="21"/>
  <c r="S252" i="21"/>
  <c r="R252" i="21"/>
  <c r="Q252" i="21"/>
  <c r="P252" i="21"/>
  <c r="N252" i="21"/>
  <c r="M252" i="21"/>
  <c r="L252" i="21"/>
  <c r="K252" i="21"/>
  <c r="I252" i="21"/>
  <c r="H252" i="21"/>
  <c r="G252" i="21"/>
  <c r="F252" i="21"/>
  <c r="V249" i="21"/>
  <c r="V248" i="21" s="1"/>
  <c r="V247" i="21" s="1"/>
  <c r="O249" i="21"/>
  <c r="O248" i="21" s="1"/>
  <c r="O247" i="21" s="1"/>
  <c r="J249" i="21"/>
  <c r="E249" i="21"/>
  <c r="X248" i="21"/>
  <c r="X247" i="21" s="1"/>
  <c r="W248" i="21"/>
  <c r="W247" i="21" s="1"/>
  <c r="U248" i="21"/>
  <c r="U247" i="21" s="1"/>
  <c r="T248" i="21"/>
  <c r="T247" i="21" s="1"/>
  <c r="S248" i="21"/>
  <c r="S247" i="21" s="1"/>
  <c r="R248" i="21"/>
  <c r="R247" i="21" s="1"/>
  <c r="Q248" i="21"/>
  <c r="Q247" i="21" s="1"/>
  <c r="P248" i="21"/>
  <c r="P247" i="21" s="1"/>
  <c r="N248" i="21"/>
  <c r="N247" i="21" s="1"/>
  <c r="M248" i="21"/>
  <c r="M247" i="21" s="1"/>
  <c r="L248" i="21"/>
  <c r="L247" i="21" s="1"/>
  <c r="K248" i="21"/>
  <c r="K247" i="21" s="1"/>
  <c r="J248" i="21"/>
  <c r="J247" i="21" s="1"/>
  <c r="I248" i="21"/>
  <c r="I247" i="21" s="1"/>
  <c r="H248" i="21"/>
  <c r="H247" i="21" s="1"/>
  <c r="G248" i="21"/>
  <c r="G247" i="21" s="1"/>
  <c r="F248" i="21"/>
  <c r="F247" i="21" s="1"/>
  <c r="E248" i="21"/>
  <c r="E247" i="21" s="1"/>
  <c r="V246" i="21"/>
  <c r="V245" i="21" s="1"/>
  <c r="V244" i="21" s="1"/>
  <c r="V243" i="21" s="1"/>
  <c r="O246" i="21"/>
  <c r="O245" i="21" s="1"/>
  <c r="O244" i="21" s="1"/>
  <c r="J246" i="21"/>
  <c r="E246" i="21"/>
  <c r="X245" i="21"/>
  <c r="X244" i="21" s="1"/>
  <c r="W245" i="21"/>
  <c r="W244" i="21" s="1"/>
  <c r="U245" i="21"/>
  <c r="U244" i="21" s="1"/>
  <c r="U243" i="21" s="1"/>
  <c r="T245" i="21"/>
  <c r="T244" i="21" s="1"/>
  <c r="S245" i="21"/>
  <c r="S244" i="21" s="1"/>
  <c r="R245" i="21"/>
  <c r="R244" i="21" s="1"/>
  <c r="Q245" i="21"/>
  <c r="Q244" i="21" s="1"/>
  <c r="Q243" i="21" s="1"/>
  <c r="P245" i="21"/>
  <c r="P244" i="21" s="1"/>
  <c r="N245" i="21"/>
  <c r="N244" i="21" s="1"/>
  <c r="M245" i="21"/>
  <c r="M244" i="21" s="1"/>
  <c r="L245" i="21"/>
  <c r="L244" i="21" s="1"/>
  <c r="L243" i="21" s="1"/>
  <c r="K245" i="21"/>
  <c r="K244" i="21" s="1"/>
  <c r="I245" i="21"/>
  <c r="I244" i="21" s="1"/>
  <c r="H245" i="21"/>
  <c r="H244" i="21" s="1"/>
  <c r="H243" i="21" s="1"/>
  <c r="G245" i="21"/>
  <c r="G244" i="21" s="1"/>
  <c r="F245" i="21"/>
  <c r="E245" i="21"/>
  <c r="E244" i="21" s="1"/>
  <c r="F244" i="21"/>
  <c r="X242" i="21"/>
  <c r="X241" i="21" s="1"/>
  <c r="X240" i="21" s="1"/>
  <c r="X239" i="21" s="1"/>
  <c r="W242" i="21"/>
  <c r="O242" i="21"/>
  <c r="J242" i="21"/>
  <c r="J241" i="21" s="1"/>
  <c r="J240" i="21" s="1"/>
  <c r="J239" i="21" s="1"/>
  <c r="E242" i="21"/>
  <c r="W241" i="21"/>
  <c r="W240" i="21" s="1"/>
  <c r="W239" i="21" s="1"/>
  <c r="U241" i="21"/>
  <c r="U240" i="21" s="1"/>
  <c r="T241" i="21"/>
  <c r="T240" i="21" s="1"/>
  <c r="T239" i="21" s="1"/>
  <c r="S241" i="21"/>
  <c r="S240" i="21" s="1"/>
  <c r="S239" i="21" s="1"/>
  <c r="R241" i="21"/>
  <c r="R240" i="21" s="1"/>
  <c r="R239" i="21" s="1"/>
  <c r="Q241" i="21"/>
  <c r="Q240" i="21" s="1"/>
  <c r="P241" i="21"/>
  <c r="P240" i="21" s="1"/>
  <c r="P239" i="21" s="1"/>
  <c r="O241" i="21"/>
  <c r="O240" i="21" s="1"/>
  <c r="O239" i="21" s="1"/>
  <c r="N241" i="21"/>
  <c r="N240" i="21" s="1"/>
  <c r="N239" i="21" s="1"/>
  <c r="M241" i="21"/>
  <c r="L241" i="21"/>
  <c r="L240" i="21" s="1"/>
  <c r="L239" i="21" s="1"/>
  <c r="K241" i="21"/>
  <c r="K240" i="21" s="1"/>
  <c r="K239" i="21" s="1"/>
  <c r="I241" i="21"/>
  <c r="I240" i="21" s="1"/>
  <c r="I239" i="21" s="1"/>
  <c r="H241" i="21"/>
  <c r="H240" i="21" s="1"/>
  <c r="H239" i="21" s="1"/>
  <c r="G241" i="21"/>
  <c r="G240" i="21" s="1"/>
  <c r="G239" i="21" s="1"/>
  <c r="F241" i="21"/>
  <c r="F240" i="21" s="1"/>
  <c r="F239" i="21" s="1"/>
  <c r="M240" i="21"/>
  <c r="M239" i="21" s="1"/>
  <c r="U239" i="21"/>
  <c r="Q239" i="21"/>
  <c r="V238" i="21"/>
  <c r="V237" i="21" s="1"/>
  <c r="V236" i="21" s="1"/>
  <c r="O238" i="21"/>
  <c r="O237" i="21" s="1"/>
  <c r="O236" i="21" s="1"/>
  <c r="J238" i="21"/>
  <c r="J237" i="21" s="1"/>
  <c r="J236" i="21" s="1"/>
  <c r="E238" i="21"/>
  <c r="X237" i="21"/>
  <c r="W237" i="21"/>
  <c r="W236" i="21" s="1"/>
  <c r="U237" i="21"/>
  <c r="T237" i="21"/>
  <c r="T236" i="21" s="1"/>
  <c r="S237" i="21"/>
  <c r="S236" i="21" s="1"/>
  <c r="R237" i="21"/>
  <c r="R236" i="21" s="1"/>
  <c r="Q237" i="21"/>
  <c r="Q236" i="21" s="1"/>
  <c r="Q235" i="21" s="1"/>
  <c r="P237" i="21"/>
  <c r="P236" i="21" s="1"/>
  <c r="N237" i="21"/>
  <c r="N236" i="21" s="1"/>
  <c r="M237" i="21"/>
  <c r="M236" i="21" s="1"/>
  <c r="L237" i="21"/>
  <c r="L236" i="21" s="1"/>
  <c r="K237" i="21"/>
  <c r="I237" i="21"/>
  <c r="I236" i="21" s="1"/>
  <c r="H237" i="21"/>
  <c r="H236" i="21" s="1"/>
  <c r="G237" i="21"/>
  <c r="G236" i="21" s="1"/>
  <c r="F237" i="21"/>
  <c r="F236" i="21" s="1"/>
  <c r="X236" i="21"/>
  <c r="U236" i="21"/>
  <c r="K236" i="21"/>
  <c r="V234" i="21"/>
  <c r="O234" i="21"/>
  <c r="J234" i="21"/>
  <c r="E234" i="21"/>
  <c r="V233" i="21"/>
  <c r="V232" i="21" s="1"/>
  <c r="V231" i="21" s="1"/>
  <c r="O233" i="21"/>
  <c r="O232" i="21" s="1"/>
  <c r="O231" i="21" s="1"/>
  <c r="O230" i="21" s="1"/>
  <c r="J233" i="21"/>
  <c r="E233" i="21"/>
  <c r="X232" i="21"/>
  <c r="X231" i="21" s="1"/>
  <c r="X230" i="21" s="1"/>
  <c r="W232" i="21"/>
  <c r="W231" i="21" s="1"/>
  <c r="W230" i="21" s="1"/>
  <c r="U232" i="21"/>
  <c r="T232" i="21"/>
  <c r="T231" i="21" s="1"/>
  <c r="T230" i="21" s="1"/>
  <c r="S232" i="21"/>
  <c r="S231" i="21" s="1"/>
  <c r="S230" i="21" s="1"/>
  <c r="R232" i="21"/>
  <c r="Q232" i="21"/>
  <c r="P232" i="21"/>
  <c r="P231" i="21" s="1"/>
  <c r="P230" i="21" s="1"/>
  <c r="N232" i="21"/>
  <c r="N231" i="21" s="1"/>
  <c r="N230" i="21" s="1"/>
  <c r="M232" i="21"/>
  <c r="M231" i="21" s="1"/>
  <c r="M230" i="21" s="1"/>
  <c r="L232" i="21"/>
  <c r="K232" i="21"/>
  <c r="K231" i="21" s="1"/>
  <c r="K230" i="21" s="1"/>
  <c r="I232" i="21"/>
  <c r="I231" i="21" s="1"/>
  <c r="I230" i="21" s="1"/>
  <c r="H232" i="21"/>
  <c r="H231" i="21" s="1"/>
  <c r="H230" i="21" s="1"/>
  <c r="G232" i="21"/>
  <c r="G231" i="21" s="1"/>
  <c r="G230" i="21" s="1"/>
  <c r="F232" i="21"/>
  <c r="F231" i="21" s="1"/>
  <c r="F230" i="21" s="1"/>
  <c r="U231" i="21"/>
  <c r="Q231" i="21"/>
  <c r="Q230" i="21" s="1"/>
  <c r="L231" i="21"/>
  <c r="L230" i="21" s="1"/>
  <c r="V230" i="21"/>
  <c r="U230" i="21"/>
  <c r="V229" i="21"/>
  <c r="V228" i="21" s="1"/>
  <c r="V227" i="21" s="1"/>
  <c r="V226" i="21" s="1"/>
  <c r="O229" i="21"/>
  <c r="J229" i="21"/>
  <c r="E229" i="21"/>
  <c r="E228" i="21" s="1"/>
  <c r="E227" i="21" s="1"/>
  <c r="E226" i="21" s="1"/>
  <c r="X228" i="21"/>
  <c r="X227" i="21" s="1"/>
  <c r="X226" i="21" s="1"/>
  <c r="W228" i="21"/>
  <c r="W227" i="21" s="1"/>
  <c r="W226" i="21" s="1"/>
  <c r="U228" i="21"/>
  <c r="T228" i="21"/>
  <c r="T227" i="21" s="1"/>
  <c r="T226" i="21" s="1"/>
  <c r="S228" i="21"/>
  <c r="S227" i="21" s="1"/>
  <c r="S226" i="21" s="1"/>
  <c r="R228" i="21"/>
  <c r="R227" i="21" s="1"/>
  <c r="R226" i="21" s="1"/>
  <c r="Q228" i="21"/>
  <c r="Q227" i="21" s="1"/>
  <c r="Q226" i="21" s="1"/>
  <c r="P228" i="21"/>
  <c r="P227" i="21" s="1"/>
  <c r="P226" i="21" s="1"/>
  <c r="O228" i="21"/>
  <c r="O227" i="21" s="1"/>
  <c r="O226" i="21" s="1"/>
  <c r="N228" i="21"/>
  <c r="N227" i="21" s="1"/>
  <c r="N226" i="21" s="1"/>
  <c r="M228" i="21"/>
  <c r="L228" i="21"/>
  <c r="K228" i="21"/>
  <c r="K227" i="21" s="1"/>
  <c r="K226" i="21" s="1"/>
  <c r="I228" i="21"/>
  <c r="I227" i="21" s="1"/>
  <c r="I226" i="21" s="1"/>
  <c r="H228" i="21"/>
  <c r="H227" i="21" s="1"/>
  <c r="H226" i="21" s="1"/>
  <c r="G228" i="21"/>
  <c r="G227" i="21" s="1"/>
  <c r="G226" i="21" s="1"/>
  <c r="F228" i="21"/>
  <c r="F227" i="21" s="1"/>
  <c r="F226" i="21" s="1"/>
  <c r="U227" i="21"/>
  <c r="U226" i="21" s="1"/>
  <c r="M227" i="21"/>
  <c r="M226" i="21" s="1"/>
  <c r="L227" i="21"/>
  <c r="L226" i="21" s="1"/>
  <c r="V225" i="21"/>
  <c r="O225" i="21"/>
  <c r="J225" i="21"/>
  <c r="E225" i="21"/>
  <c r="V224" i="21"/>
  <c r="O224" i="21"/>
  <c r="J224" i="21"/>
  <c r="E224" i="21"/>
  <c r="V223" i="21"/>
  <c r="O223" i="21"/>
  <c r="J223" i="21"/>
  <c r="E223" i="21"/>
  <c r="V222" i="21"/>
  <c r="V221" i="21" s="1"/>
  <c r="O222" i="21"/>
  <c r="J222" i="21"/>
  <c r="E222" i="21"/>
  <c r="X221" i="21"/>
  <c r="W221" i="21"/>
  <c r="U221" i="21"/>
  <c r="T221" i="21"/>
  <c r="S221" i="21"/>
  <c r="S31" i="21" s="1"/>
  <c r="R221" i="21"/>
  <c r="Q221" i="21"/>
  <c r="P221" i="21"/>
  <c r="N221" i="21"/>
  <c r="M221" i="21"/>
  <c r="L221" i="21"/>
  <c r="K221" i="21"/>
  <c r="I221" i="21"/>
  <c r="H221" i="21"/>
  <c r="G221" i="21"/>
  <c r="F221" i="21"/>
  <c r="V220" i="21"/>
  <c r="O220" i="21"/>
  <c r="J220" i="21"/>
  <c r="E220" i="21"/>
  <c r="V219" i="21"/>
  <c r="V218" i="21" s="1"/>
  <c r="O219" i="21"/>
  <c r="J219" i="21"/>
  <c r="J218" i="21" s="1"/>
  <c r="E219" i="21"/>
  <c r="X218" i="21"/>
  <c r="W218" i="21"/>
  <c r="U218" i="21"/>
  <c r="T218" i="21"/>
  <c r="S218" i="21"/>
  <c r="R218" i="21"/>
  <c r="Q218" i="21"/>
  <c r="P218" i="21"/>
  <c r="N218" i="21"/>
  <c r="M218" i="21"/>
  <c r="L218" i="21"/>
  <c r="K218" i="21"/>
  <c r="I218" i="21"/>
  <c r="H218" i="21"/>
  <c r="H28" i="21" s="1"/>
  <c r="G218" i="21"/>
  <c r="F218" i="21"/>
  <c r="V217" i="21"/>
  <c r="O217" i="21"/>
  <c r="J217" i="21"/>
  <c r="E217" i="21"/>
  <c r="V216" i="21"/>
  <c r="V215" i="21" s="1"/>
  <c r="O216" i="21"/>
  <c r="O215" i="21" s="1"/>
  <c r="J216" i="21"/>
  <c r="E216" i="21"/>
  <c r="E215" i="21" s="1"/>
  <c r="X215" i="21"/>
  <c r="X25" i="21" s="1"/>
  <c r="W215" i="21"/>
  <c r="U215" i="21"/>
  <c r="T215" i="21"/>
  <c r="S215" i="21"/>
  <c r="S25" i="21" s="1"/>
  <c r="R215" i="21"/>
  <c r="Q215" i="21"/>
  <c r="P215" i="21"/>
  <c r="N215" i="21"/>
  <c r="N25" i="21" s="1"/>
  <c r="M215" i="21"/>
  <c r="L215" i="21"/>
  <c r="K215" i="21"/>
  <c r="I215" i="21"/>
  <c r="I25" i="21" s="1"/>
  <c r="H215" i="21"/>
  <c r="G215" i="21"/>
  <c r="F215" i="21"/>
  <c r="V214" i="21"/>
  <c r="V213" i="21" s="1"/>
  <c r="O214" i="21"/>
  <c r="O213" i="21" s="1"/>
  <c r="J214" i="21"/>
  <c r="E214" i="21"/>
  <c r="X213" i="21"/>
  <c r="X24" i="21" s="1"/>
  <c r="W213" i="21"/>
  <c r="U213" i="21"/>
  <c r="T213" i="21"/>
  <c r="S213" i="21"/>
  <c r="S212" i="21" s="1"/>
  <c r="R213" i="21"/>
  <c r="Q213" i="21"/>
  <c r="P213" i="21"/>
  <c r="N213" i="21"/>
  <c r="N24" i="21" s="1"/>
  <c r="M213" i="21"/>
  <c r="L213" i="21"/>
  <c r="K213" i="21"/>
  <c r="J213" i="21"/>
  <c r="I213" i="21"/>
  <c r="H213" i="21"/>
  <c r="G213" i="21"/>
  <c r="F213" i="21"/>
  <c r="V211" i="21"/>
  <c r="V210" i="21" s="1"/>
  <c r="V209" i="21" s="1"/>
  <c r="O211" i="21"/>
  <c r="O210" i="21" s="1"/>
  <c r="O209" i="21" s="1"/>
  <c r="J211" i="21"/>
  <c r="J210" i="21" s="1"/>
  <c r="J209" i="21" s="1"/>
  <c r="E211" i="21"/>
  <c r="E210" i="21" s="1"/>
  <c r="E209" i="21" s="1"/>
  <c r="X210" i="21"/>
  <c r="X209" i="21" s="1"/>
  <c r="W210" i="21"/>
  <c r="W209" i="21" s="1"/>
  <c r="U210" i="21"/>
  <c r="U209" i="21" s="1"/>
  <c r="T210" i="21"/>
  <c r="T209" i="21" s="1"/>
  <c r="S210" i="21"/>
  <c r="S209" i="21" s="1"/>
  <c r="R210" i="21"/>
  <c r="R209" i="21" s="1"/>
  <c r="Q210" i="21"/>
  <c r="Q209" i="21" s="1"/>
  <c r="P210" i="21"/>
  <c r="P209" i="21" s="1"/>
  <c r="N210" i="21"/>
  <c r="N209" i="21" s="1"/>
  <c r="M210" i="21"/>
  <c r="M209" i="21" s="1"/>
  <c r="L210" i="21"/>
  <c r="L209" i="21" s="1"/>
  <c r="K210" i="21"/>
  <c r="K209" i="21" s="1"/>
  <c r="I210" i="21"/>
  <c r="I209" i="21" s="1"/>
  <c r="H210" i="21"/>
  <c r="H209" i="21" s="1"/>
  <c r="G210" i="21"/>
  <c r="F210" i="21"/>
  <c r="G209" i="21"/>
  <c r="F209" i="21"/>
  <c r="V206" i="21"/>
  <c r="O206" i="21"/>
  <c r="J206" i="21"/>
  <c r="E206" i="21"/>
  <c r="V205" i="21"/>
  <c r="V204" i="21" s="1"/>
  <c r="V203" i="21" s="1"/>
  <c r="V202" i="21" s="1"/>
  <c r="O205" i="21"/>
  <c r="O204" i="21" s="1"/>
  <c r="O203" i="21" s="1"/>
  <c r="O202" i="21" s="1"/>
  <c r="J205" i="21"/>
  <c r="J204" i="21" s="1"/>
  <c r="J203" i="21" s="1"/>
  <c r="J202" i="21" s="1"/>
  <c r="E205" i="21"/>
  <c r="X204" i="21"/>
  <c r="X203" i="21" s="1"/>
  <c r="X202" i="21" s="1"/>
  <c r="W204" i="21"/>
  <c r="W203" i="21" s="1"/>
  <c r="W202" i="21" s="1"/>
  <c r="U204" i="21"/>
  <c r="U203" i="21" s="1"/>
  <c r="U202" i="21" s="1"/>
  <c r="T204" i="21"/>
  <c r="T203" i="21" s="1"/>
  <c r="T202" i="21" s="1"/>
  <c r="S204" i="21"/>
  <c r="S203" i="21" s="1"/>
  <c r="S202" i="21" s="1"/>
  <c r="R204" i="21"/>
  <c r="R203" i="21" s="1"/>
  <c r="R202" i="21" s="1"/>
  <c r="Q204" i="21"/>
  <c r="Q203" i="21" s="1"/>
  <c r="Q202" i="21" s="1"/>
  <c r="P204" i="21"/>
  <c r="P203" i="21" s="1"/>
  <c r="P202" i="21" s="1"/>
  <c r="N204" i="21"/>
  <c r="N203" i="21" s="1"/>
  <c r="N202" i="21" s="1"/>
  <c r="M204" i="21"/>
  <c r="M203" i="21" s="1"/>
  <c r="M202" i="21" s="1"/>
  <c r="L204" i="21"/>
  <c r="L203" i="21" s="1"/>
  <c r="L202" i="21" s="1"/>
  <c r="K204" i="21"/>
  <c r="K203" i="21" s="1"/>
  <c r="K202" i="21" s="1"/>
  <c r="I204" i="21"/>
  <c r="I203" i="21" s="1"/>
  <c r="I202" i="21" s="1"/>
  <c r="H204" i="21"/>
  <c r="H203" i="21" s="1"/>
  <c r="G204" i="21"/>
  <c r="G203" i="21" s="1"/>
  <c r="G202" i="21" s="1"/>
  <c r="F204" i="21"/>
  <c r="F203" i="21" s="1"/>
  <c r="F202" i="21" s="1"/>
  <c r="H202" i="21"/>
  <c r="V201" i="21"/>
  <c r="V200" i="21" s="1"/>
  <c r="V199" i="21" s="1"/>
  <c r="V198" i="21" s="1"/>
  <c r="O201" i="21"/>
  <c r="O200" i="21" s="1"/>
  <c r="O199" i="21" s="1"/>
  <c r="O198" i="21" s="1"/>
  <c r="J201" i="21"/>
  <c r="J200" i="21" s="1"/>
  <c r="J199" i="21" s="1"/>
  <c r="J198" i="21" s="1"/>
  <c r="E201" i="21"/>
  <c r="X200" i="21"/>
  <c r="X199" i="21" s="1"/>
  <c r="W200" i="21"/>
  <c r="U200" i="21"/>
  <c r="U199" i="21" s="1"/>
  <c r="U198" i="21" s="1"/>
  <c r="T200" i="21"/>
  <c r="T199" i="21" s="1"/>
  <c r="T198" i="21" s="1"/>
  <c r="S200" i="21"/>
  <c r="S199" i="21" s="1"/>
  <c r="S198" i="21" s="1"/>
  <c r="R200" i="21"/>
  <c r="R199" i="21" s="1"/>
  <c r="R198" i="21" s="1"/>
  <c r="Q200" i="21"/>
  <c r="Q199" i="21" s="1"/>
  <c r="Q198" i="21" s="1"/>
  <c r="P200" i="21"/>
  <c r="P199" i="21" s="1"/>
  <c r="P198" i="21" s="1"/>
  <c r="N200" i="21"/>
  <c r="N199" i="21" s="1"/>
  <c r="N198" i="21" s="1"/>
  <c r="M200" i="21"/>
  <c r="M199" i="21" s="1"/>
  <c r="M198" i="21" s="1"/>
  <c r="L200" i="21"/>
  <c r="L199" i="21" s="1"/>
  <c r="L198" i="21" s="1"/>
  <c r="K200" i="21"/>
  <c r="K199" i="21" s="1"/>
  <c r="K198" i="21" s="1"/>
  <c r="I200" i="21"/>
  <c r="I199" i="21" s="1"/>
  <c r="I198" i="21" s="1"/>
  <c r="H200" i="21"/>
  <c r="H199" i="21" s="1"/>
  <c r="H198" i="21" s="1"/>
  <c r="G200" i="21"/>
  <c r="G199" i="21" s="1"/>
  <c r="G198" i="21" s="1"/>
  <c r="F200" i="21"/>
  <c r="F199" i="21" s="1"/>
  <c r="F198" i="21" s="1"/>
  <c r="W199" i="21"/>
  <c r="W198" i="21" s="1"/>
  <c r="X198" i="21"/>
  <c r="V197" i="21"/>
  <c r="V196" i="21" s="1"/>
  <c r="V195" i="21" s="1"/>
  <c r="V194" i="21" s="1"/>
  <c r="O197" i="21"/>
  <c r="J197" i="21"/>
  <c r="E197" i="21"/>
  <c r="X196" i="21"/>
  <c r="X195" i="21" s="1"/>
  <c r="X194" i="21" s="1"/>
  <c r="W196" i="21"/>
  <c r="W195" i="21" s="1"/>
  <c r="W194" i="21" s="1"/>
  <c r="U196" i="21"/>
  <c r="U195" i="21" s="1"/>
  <c r="U194" i="21" s="1"/>
  <c r="T196" i="21"/>
  <c r="T195" i="21" s="1"/>
  <c r="T194" i="21" s="1"/>
  <c r="S196" i="21"/>
  <c r="R196" i="21"/>
  <c r="R195" i="21" s="1"/>
  <c r="R194" i="21" s="1"/>
  <c r="Q196" i="21"/>
  <c r="Q195" i="21" s="1"/>
  <c r="Q194" i="21" s="1"/>
  <c r="P196" i="21"/>
  <c r="P195" i="21" s="1"/>
  <c r="P194" i="21" s="1"/>
  <c r="O196" i="21"/>
  <c r="O195" i="21" s="1"/>
  <c r="O194" i="21" s="1"/>
  <c r="N196" i="21"/>
  <c r="N195" i="21" s="1"/>
  <c r="N194" i="21" s="1"/>
  <c r="M196" i="21"/>
  <c r="M195" i="21" s="1"/>
  <c r="M194" i="21" s="1"/>
  <c r="L196" i="21"/>
  <c r="L195" i="21" s="1"/>
  <c r="L194" i="21" s="1"/>
  <c r="K196" i="21"/>
  <c r="K195" i="21" s="1"/>
  <c r="K194" i="21" s="1"/>
  <c r="J196" i="21"/>
  <c r="J195" i="21" s="1"/>
  <c r="J194" i="21" s="1"/>
  <c r="I196" i="21"/>
  <c r="I195" i="21" s="1"/>
  <c r="I194" i="21" s="1"/>
  <c r="H196" i="21"/>
  <c r="H195" i="21" s="1"/>
  <c r="H194" i="21" s="1"/>
  <c r="G196" i="21"/>
  <c r="G195" i="21" s="1"/>
  <c r="G194" i="21" s="1"/>
  <c r="F196" i="21"/>
  <c r="F195" i="21" s="1"/>
  <c r="F194" i="21" s="1"/>
  <c r="S195" i="21"/>
  <c r="S194" i="21" s="1"/>
  <c r="V193" i="21"/>
  <c r="O193" i="21"/>
  <c r="J193" i="21"/>
  <c r="E193" i="21"/>
  <c r="V192" i="21"/>
  <c r="V191" i="21" s="1"/>
  <c r="V190" i="21" s="1"/>
  <c r="V189" i="21" s="1"/>
  <c r="O192" i="21"/>
  <c r="J192" i="21"/>
  <c r="J191" i="21" s="1"/>
  <c r="J190" i="21" s="1"/>
  <c r="J189" i="21" s="1"/>
  <c r="E192" i="21"/>
  <c r="X191" i="21"/>
  <c r="X190" i="21" s="1"/>
  <c r="X189" i="21" s="1"/>
  <c r="W191" i="21"/>
  <c r="W190" i="21" s="1"/>
  <c r="W189" i="21" s="1"/>
  <c r="U191" i="21"/>
  <c r="U190" i="21" s="1"/>
  <c r="U189" i="21" s="1"/>
  <c r="T191" i="21"/>
  <c r="T190" i="21" s="1"/>
  <c r="T189" i="21" s="1"/>
  <c r="S191" i="21"/>
  <c r="S190" i="21" s="1"/>
  <c r="S189" i="21" s="1"/>
  <c r="R191" i="21"/>
  <c r="R190" i="21" s="1"/>
  <c r="R189" i="21" s="1"/>
  <c r="Q191" i="21"/>
  <c r="Q190" i="21" s="1"/>
  <c r="Q189" i="21" s="1"/>
  <c r="P191" i="21"/>
  <c r="P190" i="21" s="1"/>
  <c r="P189" i="21" s="1"/>
  <c r="O191" i="21"/>
  <c r="N191" i="21"/>
  <c r="N190" i="21" s="1"/>
  <c r="N189" i="21" s="1"/>
  <c r="M191" i="21"/>
  <c r="M190" i="21" s="1"/>
  <c r="M189" i="21" s="1"/>
  <c r="L191" i="21"/>
  <c r="L190" i="21" s="1"/>
  <c r="L189" i="21" s="1"/>
  <c r="K191" i="21"/>
  <c r="K190" i="21" s="1"/>
  <c r="K189" i="21" s="1"/>
  <c r="I191" i="21"/>
  <c r="I190" i="21" s="1"/>
  <c r="I189" i="21" s="1"/>
  <c r="H191" i="21"/>
  <c r="H190" i="21" s="1"/>
  <c r="H189" i="21" s="1"/>
  <c r="G191" i="21"/>
  <c r="G190" i="21" s="1"/>
  <c r="G189" i="21" s="1"/>
  <c r="F191" i="21"/>
  <c r="F190" i="21" s="1"/>
  <c r="F189" i="21" s="1"/>
  <c r="O190" i="21"/>
  <c r="O189" i="21" s="1"/>
  <c r="V188" i="21"/>
  <c r="O188" i="21"/>
  <c r="J188" i="21"/>
  <c r="E188" i="21"/>
  <c r="V187" i="21"/>
  <c r="V186" i="21" s="1"/>
  <c r="V185" i="21" s="1"/>
  <c r="V184" i="21" s="1"/>
  <c r="O187" i="21"/>
  <c r="O186" i="21" s="1"/>
  <c r="O185" i="21" s="1"/>
  <c r="O184" i="21" s="1"/>
  <c r="J187" i="21"/>
  <c r="J186" i="21" s="1"/>
  <c r="J185" i="21" s="1"/>
  <c r="J184" i="21" s="1"/>
  <c r="E187" i="21"/>
  <c r="X186" i="21"/>
  <c r="X185" i="21" s="1"/>
  <c r="X184" i="21" s="1"/>
  <c r="W186" i="21"/>
  <c r="W185" i="21" s="1"/>
  <c r="W184" i="21" s="1"/>
  <c r="U186" i="21"/>
  <c r="U185" i="21" s="1"/>
  <c r="U184" i="21" s="1"/>
  <c r="T186" i="21"/>
  <c r="T185" i="21" s="1"/>
  <c r="T184" i="21" s="1"/>
  <c r="S186" i="21"/>
  <c r="S185" i="21" s="1"/>
  <c r="S184" i="21" s="1"/>
  <c r="R186" i="21"/>
  <c r="R185" i="21" s="1"/>
  <c r="R184" i="21" s="1"/>
  <c r="Q186" i="21"/>
  <c r="Q185" i="21" s="1"/>
  <c r="Q184" i="21" s="1"/>
  <c r="P186" i="21"/>
  <c r="P185" i="21" s="1"/>
  <c r="P184" i="21" s="1"/>
  <c r="N186" i="21"/>
  <c r="N185" i="21" s="1"/>
  <c r="N184" i="21" s="1"/>
  <c r="M186" i="21"/>
  <c r="M185" i="21" s="1"/>
  <c r="M184" i="21" s="1"/>
  <c r="L186" i="21"/>
  <c r="L185" i="21" s="1"/>
  <c r="L184" i="21" s="1"/>
  <c r="K186" i="21"/>
  <c r="K185" i="21" s="1"/>
  <c r="K184" i="21" s="1"/>
  <c r="I186" i="21"/>
  <c r="I185" i="21" s="1"/>
  <c r="I184" i="21" s="1"/>
  <c r="H186" i="21"/>
  <c r="H185" i="21" s="1"/>
  <c r="H184" i="21" s="1"/>
  <c r="G186" i="21"/>
  <c r="G185" i="21" s="1"/>
  <c r="G184" i="21" s="1"/>
  <c r="F186" i="21"/>
  <c r="F185" i="21" s="1"/>
  <c r="F184" i="21" s="1"/>
  <c r="V183" i="21"/>
  <c r="O183" i="21"/>
  <c r="J183" i="21"/>
  <c r="E183" i="21"/>
  <c r="V182" i="21"/>
  <c r="V181" i="21" s="1"/>
  <c r="V180" i="21" s="1"/>
  <c r="V179" i="21" s="1"/>
  <c r="O182" i="21"/>
  <c r="O181" i="21" s="1"/>
  <c r="O180" i="21" s="1"/>
  <c r="O179" i="21" s="1"/>
  <c r="J182" i="21"/>
  <c r="J181" i="21" s="1"/>
  <c r="J180" i="21" s="1"/>
  <c r="J179" i="21" s="1"/>
  <c r="E182" i="21"/>
  <c r="X181" i="21"/>
  <c r="X180" i="21" s="1"/>
  <c r="X179" i="21" s="1"/>
  <c r="W181" i="21"/>
  <c r="W180" i="21" s="1"/>
  <c r="W179" i="21" s="1"/>
  <c r="U181" i="21"/>
  <c r="U180" i="21" s="1"/>
  <c r="U179" i="21" s="1"/>
  <c r="T181" i="21"/>
  <c r="T180" i="21" s="1"/>
  <c r="T179" i="21" s="1"/>
  <c r="S181" i="21"/>
  <c r="S180" i="21" s="1"/>
  <c r="S179" i="21" s="1"/>
  <c r="R181" i="21"/>
  <c r="R180" i="21" s="1"/>
  <c r="R179" i="21" s="1"/>
  <c r="Q181" i="21"/>
  <c r="Q180" i="21" s="1"/>
  <c r="Q179" i="21" s="1"/>
  <c r="P181" i="21"/>
  <c r="P180" i="21" s="1"/>
  <c r="P179" i="21" s="1"/>
  <c r="N181" i="21"/>
  <c r="N180" i="21" s="1"/>
  <c r="N179" i="21" s="1"/>
  <c r="M181" i="21"/>
  <c r="M180" i="21" s="1"/>
  <c r="M179" i="21" s="1"/>
  <c r="L181" i="21"/>
  <c r="L180" i="21" s="1"/>
  <c r="L179" i="21" s="1"/>
  <c r="K181" i="21"/>
  <c r="K180" i="21" s="1"/>
  <c r="K179" i="21" s="1"/>
  <c r="I181" i="21"/>
  <c r="I180" i="21" s="1"/>
  <c r="I179" i="21" s="1"/>
  <c r="H181" i="21"/>
  <c r="H180" i="21" s="1"/>
  <c r="H179" i="21" s="1"/>
  <c r="G181" i="21"/>
  <c r="G180" i="21" s="1"/>
  <c r="G179" i="21" s="1"/>
  <c r="F181" i="21"/>
  <c r="F180" i="21" s="1"/>
  <c r="F179" i="21" s="1"/>
  <c r="V178" i="21"/>
  <c r="O178" i="21"/>
  <c r="J178" i="21"/>
  <c r="E178" i="21"/>
  <c r="V177" i="21"/>
  <c r="V176" i="21" s="1"/>
  <c r="V175" i="21" s="1"/>
  <c r="V174" i="21" s="1"/>
  <c r="O177" i="21"/>
  <c r="O176" i="21" s="1"/>
  <c r="O175" i="21" s="1"/>
  <c r="O174" i="21" s="1"/>
  <c r="J177" i="21"/>
  <c r="E177" i="21"/>
  <c r="X176" i="21"/>
  <c r="X175" i="21" s="1"/>
  <c r="X174" i="21" s="1"/>
  <c r="W176" i="21"/>
  <c r="U176" i="21"/>
  <c r="U175" i="21" s="1"/>
  <c r="U174" i="21" s="1"/>
  <c r="T176" i="21"/>
  <c r="T175" i="21" s="1"/>
  <c r="T174" i="21" s="1"/>
  <c r="S176" i="21"/>
  <c r="S175" i="21" s="1"/>
  <c r="S174" i="21" s="1"/>
  <c r="R176" i="21"/>
  <c r="Q176" i="21"/>
  <c r="Q175" i="21" s="1"/>
  <c r="Q174" i="21" s="1"/>
  <c r="P176" i="21"/>
  <c r="P175" i="21" s="1"/>
  <c r="P174" i="21" s="1"/>
  <c r="N176" i="21"/>
  <c r="N175" i="21" s="1"/>
  <c r="N174" i="21" s="1"/>
  <c r="M176" i="21"/>
  <c r="M175" i="21" s="1"/>
  <c r="M174" i="21" s="1"/>
  <c r="L176" i="21"/>
  <c r="L175" i="21" s="1"/>
  <c r="L174" i="21" s="1"/>
  <c r="K176" i="21"/>
  <c r="K175" i="21" s="1"/>
  <c r="K174" i="21" s="1"/>
  <c r="I176" i="21"/>
  <c r="I175" i="21" s="1"/>
  <c r="I174" i="21" s="1"/>
  <c r="H176" i="21"/>
  <c r="H175" i="21" s="1"/>
  <c r="H174" i="21" s="1"/>
  <c r="G176" i="21"/>
  <c r="G175" i="21" s="1"/>
  <c r="G174" i="21" s="1"/>
  <c r="F176" i="21"/>
  <c r="F175" i="21" s="1"/>
  <c r="F174" i="21" s="1"/>
  <c r="W175" i="21"/>
  <c r="W174" i="21" s="1"/>
  <c r="R175" i="21"/>
  <c r="R174" i="21" s="1"/>
  <c r="V173" i="21"/>
  <c r="O173" i="21"/>
  <c r="J173" i="21"/>
  <c r="E173" i="21"/>
  <c r="V172" i="21"/>
  <c r="O172" i="21"/>
  <c r="J172" i="21"/>
  <c r="J171" i="21" s="1"/>
  <c r="J170" i="21" s="1"/>
  <c r="J169" i="21" s="1"/>
  <c r="E172" i="21"/>
  <c r="X171" i="21"/>
  <c r="X170" i="21" s="1"/>
  <c r="X169" i="21" s="1"/>
  <c r="W171" i="21"/>
  <c r="U171" i="21"/>
  <c r="U170" i="21" s="1"/>
  <c r="U169" i="21" s="1"/>
  <c r="T171" i="21"/>
  <c r="S171" i="21"/>
  <c r="S170" i="21" s="1"/>
  <c r="S169" i="21" s="1"/>
  <c r="R171" i="21"/>
  <c r="R170" i="21" s="1"/>
  <c r="R169" i="21" s="1"/>
  <c r="Q171" i="21"/>
  <c r="Q170" i="21" s="1"/>
  <c r="Q169" i="21" s="1"/>
  <c r="P171" i="21"/>
  <c r="P170" i="21" s="1"/>
  <c r="P169" i="21" s="1"/>
  <c r="N171" i="21"/>
  <c r="N170" i="21" s="1"/>
  <c r="N169" i="21" s="1"/>
  <c r="M171" i="21"/>
  <c r="M170" i="21" s="1"/>
  <c r="M169" i="21" s="1"/>
  <c r="L171" i="21"/>
  <c r="L170" i="21" s="1"/>
  <c r="L169" i="21" s="1"/>
  <c r="K171" i="21"/>
  <c r="I171" i="21"/>
  <c r="I170" i="21" s="1"/>
  <c r="I169" i="21" s="1"/>
  <c r="H171" i="21"/>
  <c r="H170" i="21" s="1"/>
  <c r="H169" i="21" s="1"/>
  <c r="G171" i="21"/>
  <c r="G170" i="21" s="1"/>
  <c r="G169" i="21" s="1"/>
  <c r="F171" i="21"/>
  <c r="F170" i="21" s="1"/>
  <c r="F169" i="21" s="1"/>
  <c r="W170" i="21"/>
  <c r="W169" i="21" s="1"/>
  <c r="T170" i="21"/>
  <c r="T169" i="21" s="1"/>
  <c r="K170" i="21"/>
  <c r="K169" i="21" s="1"/>
  <c r="V168" i="21"/>
  <c r="O168" i="21"/>
  <c r="J168" i="21"/>
  <c r="E168" i="21"/>
  <c r="V167" i="21"/>
  <c r="V166" i="21" s="1"/>
  <c r="V165" i="21" s="1"/>
  <c r="V164" i="21" s="1"/>
  <c r="O167" i="21"/>
  <c r="O166" i="21" s="1"/>
  <c r="O165" i="21" s="1"/>
  <c r="O164" i="21" s="1"/>
  <c r="J167" i="21"/>
  <c r="J166" i="21" s="1"/>
  <c r="J165" i="21" s="1"/>
  <c r="J164" i="21" s="1"/>
  <c r="E167" i="21"/>
  <c r="X166" i="21"/>
  <c r="X165" i="21" s="1"/>
  <c r="X164" i="21" s="1"/>
  <c r="W166" i="21"/>
  <c r="W165" i="21" s="1"/>
  <c r="W164" i="21" s="1"/>
  <c r="U166" i="21"/>
  <c r="U165" i="21" s="1"/>
  <c r="T166" i="21"/>
  <c r="T165" i="21" s="1"/>
  <c r="T164" i="21" s="1"/>
  <c r="S166" i="21"/>
  <c r="S165" i="21" s="1"/>
  <c r="S164" i="21" s="1"/>
  <c r="R166" i="21"/>
  <c r="R165" i="21" s="1"/>
  <c r="R164" i="21" s="1"/>
  <c r="Q166" i="21"/>
  <c r="Q165" i="21" s="1"/>
  <c r="Q164" i="21" s="1"/>
  <c r="P166" i="21"/>
  <c r="P165" i="21" s="1"/>
  <c r="P164" i="21" s="1"/>
  <c r="N166" i="21"/>
  <c r="N165" i="21" s="1"/>
  <c r="N164" i="21" s="1"/>
  <c r="M166" i="21"/>
  <c r="M165" i="21" s="1"/>
  <c r="M164" i="21" s="1"/>
  <c r="L166" i="21"/>
  <c r="L165" i="21" s="1"/>
  <c r="L164" i="21" s="1"/>
  <c r="K166" i="21"/>
  <c r="K165" i="21" s="1"/>
  <c r="K164" i="21" s="1"/>
  <c r="I166" i="21"/>
  <c r="I165" i="21" s="1"/>
  <c r="I164" i="21" s="1"/>
  <c r="H166" i="21"/>
  <c r="H165" i="21" s="1"/>
  <c r="H164" i="21" s="1"/>
  <c r="G166" i="21"/>
  <c r="G165" i="21" s="1"/>
  <c r="G164" i="21" s="1"/>
  <c r="F166" i="21"/>
  <c r="F165" i="21" s="1"/>
  <c r="F164" i="21" s="1"/>
  <c r="U164" i="21"/>
  <c r="V163" i="21"/>
  <c r="O163" i="21"/>
  <c r="J163" i="21"/>
  <c r="E163" i="21"/>
  <c r="V162" i="21"/>
  <c r="V161" i="21" s="1"/>
  <c r="O162" i="21"/>
  <c r="O161" i="21" s="1"/>
  <c r="J162" i="21"/>
  <c r="J161" i="21" s="1"/>
  <c r="E162" i="21"/>
  <c r="X161" i="21"/>
  <c r="W161" i="21"/>
  <c r="U161" i="21"/>
  <c r="T161" i="21"/>
  <c r="S161" i="21"/>
  <c r="R161" i="21"/>
  <c r="Q161" i="21"/>
  <c r="P161" i="21"/>
  <c r="N161" i="21"/>
  <c r="M161" i="21"/>
  <c r="L161" i="21"/>
  <c r="K161" i="21"/>
  <c r="I161" i="21"/>
  <c r="H161" i="21"/>
  <c r="G161" i="21"/>
  <c r="F161" i="21"/>
  <c r="V160" i="21"/>
  <c r="O160" i="21"/>
  <c r="J160" i="21"/>
  <c r="E160" i="21"/>
  <c r="V159" i="21"/>
  <c r="V158" i="21" s="1"/>
  <c r="O159" i="21"/>
  <c r="O158" i="21" s="1"/>
  <c r="J159" i="21"/>
  <c r="J158" i="21" s="1"/>
  <c r="E159" i="21"/>
  <c r="X158" i="21"/>
  <c r="W158" i="21"/>
  <c r="U158" i="21"/>
  <c r="U157" i="21" s="1"/>
  <c r="U156" i="21" s="1"/>
  <c r="T158" i="21"/>
  <c r="S158" i="21"/>
  <c r="R158" i="21"/>
  <c r="R157" i="21" s="1"/>
  <c r="R156" i="21" s="1"/>
  <c r="Q158" i="21"/>
  <c r="Q157" i="21" s="1"/>
  <c r="Q156" i="21" s="1"/>
  <c r="P158" i="21"/>
  <c r="N158" i="21"/>
  <c r="M158" i="21"/>
  <c r="L158" i="21"/>
  <c r="L157" i="21" s="1"/>
  <c r="L156" i="21" s="1"/>
  <c r="K158" i="21"/>
  <c r="I158" i="21"/>
  <c r="H158" i="21"/>
  <c r="H157" i="21" s="1"/>
  <c r="H156" i="21" s="1"/>
  <c r="G158" i="21"/>
  <c r="G157" i="21" s="1"/>
  <c r="G156" i="21" s="1"/>
  <c r="F158" i="21"/>
  <c r="V155" i="21"/>
  <c r="V154" i="21" s="1"/>
  <c r="V153" i="21" s="1"/>
  <c r="V152" i="21" s="1"/>
  <c r="O155" i="21"/>
  <c r="J155" i="21"/>
  <c r="J154" i="21" s="1"/>
  <c r="J153" i="21" s="1"/>
  <c r="J152" i="21" s="1"/>
  <c r="E155" i="21"/>
  <c r="X154" i="21"/>
  <c r="X153" i="21" s="1"/>
  <c r="X152" i="21" s="1"/>
  <c r="W154" i="21"/>
  <c r="W153" i="21" s="1"/>
  <c r="W152" i="21" s="1"/>
  <c r="U154" i="21"/>
  <c r="U153" i="21" s="1"/>
  <c r="U152" i="21" s="1"/>
  <c r="T154" i="21"/>
  <c r="T153" i="21" s="1"/>
  <c r="T152" i="21" s="1"/>
  <c r="S154" i="21"/>
  <c r="S153" i="21" s="1"/>
  <c r="S152" i="21" s="1"/>
  <c r="R154" i="21"/>
  <c r="R153" i="21" s="1"/>
  <c r="R152" i="21" s="1"/>
  <c r="Q154" i="21"/>
  <c r="Q153" i="21" s="1"/>
  <c r="Q152" i="21" s="1"/>
  <c r="P154" i="21"/>
  <c r="P153" i="21" s="1"/>
  <c r="P152" i="21" s="1"/>
  <c r="O154" i="21"/>
  <c r="O153" i="21" s="1"/>
  <c r="O152" i="21" s="1"/>
  <c r="N154" i="21"/>
  <c r="N153" i="21" s="1"/>
  <c r="N152" i="21" s="1"/>
  <c r="M154" i="21"/>
  <c r="M153" i="21" s="1"/>
  <c r="M152" i="21" s="1"/>
  <c r="L154" i="21"/>
  <c r="L153" i="21" s="1"/>
  <c r="L152" i="21" s="1"/>
  <c r="K154" i="21"/>
  <c r="K153" i="21" s="1"/>
  <c r="K152" i="21" s="1"/>
  <c r="I154" i="21"/>
  <c r="H154" i="21"/>
  <c r="H153" i="21" s="1"/>
  <c r="H152" i="21" s="1"/>
  <c r="G154" i="21"/>
  <c r="G153" i="21" s="1"/>
  <c r="G152" i="21" s="1"/>
  <c r="F154" i="21"/>
  <c r="F153" i="21" s="1"/>
  <c r="F152" i="21" s="1"/>
  <c r="I153" i="21"/>
  <c r="I152" i="21" s="1"/>
  <c r="X151" i="21"/>
  <c r="W151" i="21"/>
  <c r="U151" i="21"/>
  <c r="U150" i="21" s="1"/>
  <c r="U149" i="21" s="1"/>
  <c r="T151" i="21"/>
  <c r="S151" i="21"/>
  <c r="R151" i="21"/>
  <c r="R150" i="21" s="1"/>
  <c r="R149" i="21" s="1"/>
  <c r="Q151" i="21"/>
  <c r="Q150" i="21" s="1"/>
  <c r="Q149" i="21" s="1"/>
  <c r="P151" i="21"/>
  <c r="P150" i="21" s="1"/>
  <c r="N151" i="21"/>
  <c r="M151" i="21"/>
  <c r="M150" i="21" s="1"/>
  <c r="M149" i="21" s="1"/>
  <c r="L151" i="21"/>
  <c r="L150" i="21" s="1"/>
  <c r="L149" i="21" s="1"/>
  <c r="K151" i="21"/>
  <c r="K150" i="21" s="1"/>
  <c r="K149" i="21" s="1"/>
  <c r="I151" i="21"/>
  <c r="H151" i="21"/>
  <c r="G151" i="21"/>
  <c r="G150" i="21" s="1"/>
  <c r="G149" i="21" s="1"/>
  <c r="F151" i="21"/>
  <c r="T150" i="21"/>
  <c r="T149" i="21" s="1"/>
  <c r="H150" i="21"/>
  <c r="H149" i="21" s="1"/>
  <c r="P149" i="21"/>
  <c r="U148" i="21"/>
  <c r="U147" i="21" s="1"/>
  <c r="U146" i="21" s="1"/>
  <c r="U145" i="21" s="1"/>
  <c r="U144" i="21" s="1"/>
  <c r="T148" i="21"/>
  <c r="T147" i="21" s="1"/>
  <c r="T146" i="21" s="1"/>
  <c r="S148" i="21"/>
  <c r="S147" i="21" s="1"/>
  <c r="S146" i="21" s="1"/>
  <c r="R148" i="21"/>
  <c r="Q148" i="21"/>
  <c r="Q147" i="21" s="1"/>
  <c r="Q146" i="21" s="1"/>
  <c r="Q145" i="21" s="1"/>
  <c r="Q144" i="21" s="1"/>
  <c r="P148" i="21"/>
  <c r="P47" i="21" s="1"/>
  <c r="N148" i="21"/>
  <c r="M148" i="21"/>
  <c r="L148" i="21"/>
  <c r="K148" i="21"/>
  <c r="K147" i="21" s="1"/>
  <c r="K146" i="21" s="1"/>
  <c r="K145" i="21" s="1"/>
  <c r="K144" i="21" s="1"/>
  <c r="I148" i="21"/>
  <c r="H148" i="21"/>
  <c r="G148" i="21"/>
  <c r="G147" i="21" s="1"/>
  <c r="G146" i="21" s="1"/>
  <c r="F148" i="21"/>
  <c r="F147" i="21" s="1"/>
  <c r="F146" i="21" s="1"/>
  <c r="R147" i="21"/>
  <c r="R146" i="21" s="1"/>
  <c r="N147" i="21"/>
  <c r="N146" i="21" s="1"/>
  <c r="M147" i="21"/>
  <c r="M146" i="21" s="1"/>
  <c r="I147" i="21"/>
  <c r="I146" i="21" s="1"/>
  <c r="V143" i="21"/>
  <c r="O143" i="21"/>
  <c r="J143" i="21"/>
  <c r="E143" i="21"/>
  <c r="X142" i="21"/>
  <c r="W142" i="21"/>
  <c r="V142" i="21"/>
  <c r="U142" i="21"/>
  <c r="T142" i="21"/>
  <c r="S142" i="21"/>
  <c r="R142" i="21"/>
  <c r="Q142" i="21"/>
  <c r="P142" i="21"/>
  <c r="O142" i="21"/>
  <c r="N142" i="21"/>
  <c r="M142" i="21"/>
  <c r="L142" i="21"/>
  <c r="K142" i="21"/>
  <c r="J142" i="21"/>
  <c r="I142" i="21"/>
  <c r="H142" i="21"/>
  <c r="G142" i="21"/>
  <c r="F142" i="21"/>
  <c r="V141" i="21"/>
  <c r="O141" i="21"/>
  <c r="J141" i="21"/>
  <c r="E141" i="21"/>
  <c r="V140" i="21"/>
  <c r="O140" i="21"/>
  <c r="J140" i="21"/>
  <c r="J139" i="21" s="1"/>
  <c r="E140" i="21"/>
  <c r="X139" i="21"/>
  <c r="W139" i="21"/>
  <c r="U139" i="21"/>
  <c r="T139" i="21"/>
  <c r="T138" i="21" s="1"/>
  <c r="S139" i="21"/>
  <c r="R139" i="21"/>
  <c r="Q139" i="21"/>
  <c r="P139" i="21"/>
  <c r="N139" i="21"/>
  <c r="M139" i="21"/>
  <c r="L139" i="21"/>
  <c r="L138" i="21" s="1"/>
  <c r="K139" i="21"/>
  <c r="I139" i="21"/>
  <c r="H139" i="21"/>
  <c r="H138" i="21" s="1"/>
  <c r="G139" i="21"/>
  <c r="F139" i="21"/>
  <c r="F138" i="21" s="1"/>
  <c r="X138" i="21"/>
  <c r="R138" i="21"/>
  <c r="P138" i="21"/>
  <c r="X137" i="21"/>
  <c r="W137" i="21"/>
  <c r="U137" i="21"/>
  <c r="T137" i="21"/>
  <c r="T136" i="21" s="1"/>
  <c r="T135" i="21" s="1"/>
  <c r="S137" i="21"/>
  <c r="S136" i="21" s="1"/>
  <c r="S135" i="21" s="1"/>
  <c r="R137" i="21"/>
  <c r="R136" i="21" s="1"/>
  <c r="R135" i="21" s="1"/>
  <c r="Q137" i="21"/>
  <c r="P137" i="21"/>
  <c r="N137" i="21"/>
  <c r="N136" i="21" s="1"/>
  <c r="N135" i="21" s="1"/>
  <c r="M137" i="21"/>
  <c r="M136" i="21" s="1"/>
  <c r="M135" i="21" s="1"/>
  <c r="L137" i="21"/>
  <c r="K137" i="21"/>
  <c r="I137" i="21"/>
  <c r="I136" i="21" s="1"/>
  <c r="I135" i="21" s="1"/>
  <c r="H137" i="21"/>
  <c r="H136" i="21" s="1"/>
  <c r="H135" i="21" s="1"/>
  <c r="G137" i="21"/>
  <c r="G136" i="21" s="1"/>
  <c r="G135" i="21" s="1"/>
  <c r="F137" i="21"/>
  <c r="F136" i="21" s="1"/>
  <c r="F135" i="21" s="1"/>
  <c r="X136" i="21"/>
  <c r="X135" i="21" s="1"/>
  <c r="U136" i="21"/>
  <c r="U135" i="21" s="1"/>
  <c r="Q136" i="21"/>
  <c r="Q135" i="21" s="1"/>
  <c r="P136" i="21"/>
  <c r="P135" i="21" s="1"/>
  <c r="L136" i="21"/>
  <c r="L135" i="21" s="1"/>
  <c r="V133" i="21"/>
  <c r="V132" i="21" s="1"/>
  <c r="V131" i="21" s="1"/>
  <c r="V130" i="21" s="1"/>
  <c r="O133" i="21"/>
  <c r="O132" i="21" s="1"/>
  <c r="O131" i="21" s="1"/>
  <c r="J133" i="21"/>
  <c r="J132" i="21" s="1"/>
  <c r="J131" i="21" s="1"/>
  <c r="J130" i="21" s="1"/>
  <c r="E133" i="21"/>
  <c r="E132" i="21" s="1"/>
  <c r="E131" i="21" s="1"/>
  <c r="E130" i="21" s="1"/>
  <c r="X132" i="21"/>
  <c r="X131" i="21" s="1"/>
  <c r="X130" i="21" s="1"/>
  <c r="W132" i="21"/>
  <c r="U132" i="21"/>
  <c r="U131" i="21" s="1"/>
  <c r="U130" i="21" s="1"/>
  <c r="T132" i="21"/>
  <c r="T131" i="21" s="1"/>
  <c r="T130" i="21" s="1"/>
  <c r="S132" i="21"/>
  <c r="S131" i="21" s="1"/>
  <c r="S130" i="21" s="1"/>
  <c r="R132" i="21"/>
  <c r="R131" i="21" s="1"/>
  <c r="R130" i="21" s="1"/>
  <c r="Q132" i="21"/>
  <c r="Q131" i="21" s="1"/>
  <c r="Q130" i="21" s="1"/>
  <c r="P132" i="21"/>
  <c r="P131" i="21" s="1"/>
  <c r="P130" i="21" s="1"/>
  <c r="N132" i="21"/>
  <c r="N131" i="21" s="1"/>
  <c r="N130" i="21" s="1"/>
  <c r="M132" i="21"/>
  <c r="M131" i="21" s="1"/>
  <c r="M130" i="21" s="1"/>
  <c r="L132" i="21"/>
  <c r="L131" i="21" s="1"/>
  <c r="L130" i="21" s="1"/>
  <c r="K132" i="21"/>
  <c r="K131" i="21" s="1"/>
  <c r="K130" i="21" s="1"/>
  <c r="I132" i="21"/>
  <c r="I131" i="21" s="1"/>
  <c r="I130" i="21" s="1"/>
  <c r="H132" i="21"/>
  <c r="H131" i="21" s="1"/>
  <c r="H130" i="21" s="1"/>
  <c r="G132" i="21"/>
  <c r="G131" i="21" s="1"/>
  <c r="G130" i="21" s="1"/>
  <c r="F132" i="21"/>
  <c r="F131" i="21" s="1"/>
  <c r="F130" i="21" s="1"/>
  <c r="W131" i="21"/>
  <c r="W130" i="21" s="1"/>
  <c r="O130" i="21"/>
  <c r="X129" i="21"/>
  <c r="W129" i="21"/>
  <c r="W44" i="21" s="1"/>
  <c r="U129" i="21"/>
  <c r="T129" i="21"/>
  <c r="T44" i="21" s="1"/>
  <c r="S129" i="21"/>
  <c r="R129" i="21"/>
  <c r="Q129" i="21"/>
  <c r="P129" i="21"/>
  <c r="N129" i="21"/>
  <c r="M129" i="21"/>
  <c r="M44" i="21" s="1"/>
  <c r="L129" i="21"/>
  <c r="K129" i="21"/>
  <c r="K44" i="21" s="1"/>
  <c r="I129" i="21"/>
  <c r="H129" i="21"/>
  <c r="H44" i="21" s="1"/>
  <c r="G129" i="21"/>
  <c r="F129" i="21"/>
  <c r="F44" i="21" s="1"/>
  <c r="X128" i="21"/>
  <c r="W128" i="21"/>
  <c r="W43" i="21" s="1"/>
  <c r="U128" i="21"/>
  <c r="T128" i="21"/>
  <c r="T43" i="21" s="1"/>
  <c r="S128" i="21"/>
  <c r="R128" i="21"/>
  <c r="Q128" i="21"/>
  <c r="P128" i="21"/>
  <c r="P43" i="21" s="1"/>
  <c r="N128" i="21"/>
  <c r="M128" i="21"/>
  <c r="M43" i="21" s="1"/>
  <c r="L128" i="21"/>
  <c r="K128" i="21"/>
  <c r="K43" i="21" s="1"/>
  <c r="I128" i="21"/>
  <c r="H128" i="21"/>
  <c r="H43" i="21" s="1"/>
  <c r="G128" i="21"/>
  <c r="F128" i="21"/>
  <c r="X127" i="21"/>
  <c r="W127" i="21"/>
  <c r="W42" i="21" s="1"/>
  <c r="U127" i="21"/>
  <c r="T127" i="21"/>
  <c r="T42" i="21" s="1"/>
  <c r="S127" i="21"/>
  <c r="R127" i="21"/>
  <c r="R42" i="21" s="1"/>
  <c r="Q127" i="21"/>
  <c r="P127" i="21"/>
  <c r="P42" i="21" s="1"/>
  <c r="N127" i="21"/>
  <c r="M127" i="21"/>
  <c r="L127" i="21"/>
  <c r="K127" i="21"/>
  <c r="K42" i="21" s="1"/>
  <c r="I127" i="21"/>
  <c r="H127" i="21"/>
  <c r="G127" i="21"/>
  <c r="F127" i="21"/>
  <c r="X126" i="21"/>
  <c r="W126" i="21"/>
  <c r="W41" i="21" s="1"/>
  <c r="U126" i="21"/>
  <c r="T126" i="21"/>
  <c r="T41" i="21" s="1"/>
  <c r="S126" i="21"/>
  <c r="R126" i="21"/>
  <c r="R41" i="21" s="1"/>
  <c r="Q126" i="21"/>
  <c r="P126" i="21"/>
  <c r="P41" i="21" s="1"/>
  <c r="N126" i="21"/>
  <c r="M126" i="21"/>
  <c r="M41" i="21" s="1"/>
  <c r="L126" i="21"/>
  <c r="K126" i="21"/>
  <c r="K41" i="21" s="1"/>
  <c r="I126" i="21"/>
  <c r="H126" i="21"/>
  <c r="H41" i="21" s="1"/>
  <c r="G126" i="21"/>
  <c r="F126" i="21"/>
  <c r="X125" i="21"/>
  <c r="W125" i="21"/>
  <c r="W40" i="21" s="1"/>
  <c r="U125" i="21"/>
  <c r="T125" i="21"/>
  <c r="T40" i="21" s="1"/>
  <c r="S125" i="21"/>
  <c r="R125" i="21"/>
  <c r="R40" i="21" s="1"/>
  <c r="Q125" i="21"/>
  <c r="P125" i="21"/>
  <c r="P40" i="21" s="1"/>
  <c r="N125" i="21"/>
  <c r="M125" i="21"/>
  <c r="M40" i="21" s="1"/>
  <c r="L125" i="21"/>
  <c r="K125" i="21"/>
  <c r="K40" i="21" s="1"/>
  <c r="I125" i="21"/>
  <c r="H125" i="21"/>
  <c r="H40" i="21" s="1"/>
  <c r="G125" i="21"/>
  <c r="F125" i="21"/>
  <c r="F40" i="21" s="1"/>
  <c r="X124" i="21"/>
  <c r="W124" i="21"/>
  <c r="W39" i="21" s="1"/>
  <c r="U124" i="21"/>
  <c r="T124" i="21"/>
  <c r="T39" i="21" s="1"/>
  <c r="S124" i="21"/>
  <c r="R124" i="21"/>
  <c r="R39" i="21" s="1"/>
  <c r="Q124" i="21"/>
  <c r="P124" i="21"/>
  <c r="P39" i="21" s="1"/>
  <c r="N124" i="21"/>
  <c r="M124" i="21"/>
  <c r="M39" i="21" s="1"/>
  <c r="L124" i="21"/>
  <c r="K124" i="21"/>
  <c r="K39" i="21" s="1"/>
  <c r="I124" i="21"/>
  <c r="H124" i="21"/>
  <c r="H39" i="21" s="1"/>
  <c r="G124" i="21"/>
  <c r="F124" i="21"/>
  <c r="F39" i="21" s="1"/>
  <c r="X123" i="21"/>
  <c r="X38" i="21" s="1"/>
  <c r="W123" i="21"/>
  <c r="W38" i="21" s="1"/>
  <c r="U123" i="21"/>
  <c r="T123" i="21"/>
  <c r="T38" i="21" s="1"/>
  <c r="S123" i="21"/>
  <c r="R123" i="21"/>
  <c r="R38" i="21" s="1"/>
  <c r="Q123" i="21"/>
  <c r="P123" i="21"/>
  <c r="P38" i="21" s="1"/>
  <c r="N123" i="21"/>
  <c r="M123" i="21"/>
  <c r="M38" i="21" s="1"/>
  <c r="L123" i="21"/>
  <c r="K123" i="21"/>
  <c r="I123" i="21"/>
  <c r="H123" i="21"/>
  <c r="H38" i="21" s="1"/>
  <c r="G123" i="21"/>
  <c r="G38" i="21" s="1"/>
  <c r="F123" i="21"/>
  <c r="F38" i="21" s="1"/>
  <c r="X122" i="21"/>
  <c r="W122" i="21"/>
  <c r="W37" i="21" s="1"/>
  <c r="U122" i="21"/>
  <c r="U37" i="21" s="1"/>
  <c r="T122" i="21"/>
  <c r="S122" i="21"/>
  <c r="S121" i="21" s="1"/>
  <c r="S120" i="21" s="1"/>
  <c r="R122" i="21"/>
  <c r="R37" i="21" s="1"/>
  <c r="Q122" i="21"/>
  <c r="P122" i="21"/>
  <c r="P37" i="21" s="1"/>
  <c r="N122" i="21"/>
  <c r="N121" i="21" s="1"/>
  <c r="N120" i="21" s="1"/>
  <c r="M122" i="21"/>
  <c r="M37" i="21" s="1"/>
  <c r="L122" i="21"/>
  <c r="K122" i="21"/>
  <c r="K37" i="21" s="1"/>
  <c r="I122" i="21"/>
  <c r="H122" i="21"/>
  <c r="H37" i="21" s="1"/>
  <c r="G122" i="21"/>
  <c r="F122" i="21"/>
  <c r="L121" i="21"/>
  <c r="L120" i="21" s="1"/>
  <c r="V119" i="21"/>
  <c r="O119" i="21"/>
  <c r="J119" i="21"/>
  <c r="E119" i="21"/>
  <c r="V118" i="21"/>
  <c r="V117" i="21" s="1"/>
  <c r="O118" i="21"/>
  <c r="J118" i="21"/>
  <c r="J117" i="21" s="1"/>
  <c r="E118" i="21"/>
  <c r="X117" i="21"/>
  <c r="W117" i="21"/>
  <c r="U117" i="21"/>
  <c r="T117" i="21"/>
  <c r="S117" i="21"/>
  <c r="R117" i="21"/>
  <c r="Q117" i="21"/>
  <c r="P117" i="21"/>
  <c r="O117" i="21"/>
  <c r="N117" i="21"/>
  <c r="M117" i="21"/>
  <c r="L117" i="21"/>
  <c r="K117" i="21"/>
  <c r="I117" i="21"/>
  <c r="H117" i="21"/>
  <c r="G117" i="21"/>
  <c r="F117" i="21"/>
  <c r="V116" i="21"/>
  <c r="O116" i="21"/>
  <c r="J116" i="21"/>
  <c r="E116" i="21"/>
  <c r="V115" i="21"/>
  <c r="V114" i="21" s="1"/>
  <c r="O115" i="21"/>
  <c r="O114" i="21" s="1"/>
  <c r="J115" i="21"/>
  <c r="J114" i="21" s="1"/>
  <c r="E115" i="21"/>
  <c r="X114" i="21"/>
  <c r="W114" i="21"/>
  <c r="W113" i="21" s="1"/>
  <c r="U114" i="21"/>
  <c r="T114" i="21"/>
  <c r="S114" i="21"/>
  <c r="R114" i="21"/>
  <c r="Q114" i="21"/>
  <c r="P114" i="21"/>
  <c r="N114" i="21"/>
  <c r="M114" i="21"/>
  <c r="M113" i="21" s="1"/>
  <c r="L114" i="21"/>
  <c r="K114" i="21"/>
  <c r="K113" i="21" s="1"/>
  <c r="I114" i="21"/>
  <c r="I113" i="21" s="1"/>
  <c r="H114" i="21"/>
  <c r="G114" i="21"/>
  <c r="F114" i="21"/>
  <c r="V111" i="21"/>
  <c r="O111" i="21"/>
  <c r="J111" i="21"/>
  <c r="E111" i="21"/>
  <c r="V110" i="21"/>
  <c r="O110" i="21"/>
  <c r="J110" i="21"/>
  <c r="E110" i="21"/>
  <c r="V109" i="21"/>
  <c r="V108" i="21" s="1"/>
  <c r="O109" i="21"/>
  <c r="O108" i="21" s="1"/>
  <c r="O107" i="21" s="1"/>
  <c r="J109" i="21"/>
  <c r="E109" i="21"/>
  <c r="X108" i="21"/>
  <c r="X107" i="21" s="1"/>
  <c r="W108" i="21"/>
  <c r="W107" i="21" s="1"/>
  <c r="U108" i="21"/>
  <c r="U107" i="21" s="1"/>
  <c r="T108" i="21"/>
  <c r="T107" i="21" s="1"/>
  <c r="S108" i="21"/>
  <c r="S107" i="21" s="1"/>
  <c r="R108" i="21"/>
  <c r="R107" i="21" s="1"/>
  <c r="Q108" i="21"/>
  <c r="Q107" i="21" s="1"/>
  <c r="P108" i="21"/>
  <c r="P107" i="21" s="1"/>
  <c r="N108" i="21"/>
  <c r="N107" i="21" s="1"/>
  <c r="M108" i="21"/>
  <c r="M107" i="21" s="1"/>
  <c r="L108" i="21"/>
  <c r="L107" i="21" s="1"/>
  <c r="K108" i="21"/>
  <c r="K107" i="21" s="1"/>
  <c r="I108" i="21"/>
  <c r="I107" i="21" s="1"/>
  <c r="H108" i="21"/>
  <c r="H107" i="21" s="1"/>
  <c r="G108" i="21"/>
  <c r="G107" i="21" s="1"/>
  <c r="F108" i="21"/>
  <c r="F107" i="21" s="1"/>
  <c r="V107" i="21"/>
  <c r="X106" i="21"/>
  <c r="W106" i="21"/>
  <c r="U106" i="21"/>
  <c r="T106" i="21"/>
  <c r="S106" i="21"/>
  <c r="R106" i="21"/>
  <c r="Q106" i="21"/>
  <c r="P106" i="21"/>
  <c r="N106" i="21"/>
  <c r="M106" i="21"/>
  <c r="L106" i="21"/>
  <c r="K106" i="21"/>
  <c r="I106" i="21"/>
  <c r="H106" i="21"/>
  <c r="G106" i="21"/>
  <c r="F106" i="21"/>
  <c r="X105" i="21"/>
  <c r="X104" i="21" s="1"/>
  <c r="W105" i="21"/>
  <c r="W21" i="21" s="1"/>
  <c r="U105" i="21"/>
  <c r="U104" i="21" s="1"/>
  <c r="T105" i="21"/>
  <c r="T104" i="21" s="1"/>
  <c r="S105" i="21"/>
  <c r="S104" i="21" s="1"/>
  <c r="R105" i="21"/>
  <c r="R21" i="21" s="1"/>
  <c r="Q105" i="21"/>
  <c r="Q104" i="21" s="1"/>
  <c r="P105" i="21"/>
  <c r="N105" i="21"/>
  <c r="M105" i="21"/>
  <c r="M21" i="21" s="1"/>
  <c r="L105" i="21"/>
  <c r="L104" i="21" s="1"/>
  <c r="K105" i="21"/>
  <c r="I105" i="21"/>
  <c r="I104" i="21" s="1"/>
  <c r="H105" i="21"/>
  <c r="H104" i="21" s="1"/>
  <c r="G105" i="21"/>
  <c r="G104" i="21" s="1"/>
  <c r="F105" i="21"/>
  <c r="X103" i="21"/>
  <c r="X102" i="21" s="1"/>
  <c r="W103" i="21"/>
  <c r="W102" i="21" s="1"/>
  <c r="U103" i="21"/>
  <c r="U102" i="21" s="1"/>
  <c r="T103" i="21"/>
  <c r="T102" i="21" s="1"/>
  <c r="S103" i="21"/>
  <c r="S102" i="21" s="1"/>
  <c r="R103" i="21"/>
  <c r="R102" i="21" s="1"/>
  <c r="Q103" i="21"/>
  <c r="Q102" i="21" s="1"/>
  <c r="P103" i="21"/>
  <c r="P102" i="21" s="1"/>
  <c r="N103" i="21"/>
  <c r="N102" i="21" s="1"/>
  <c r="M103" i="21"/>
  <c r="M19" i="21" s="1"/>
  <c r="L103" i="21"/>
  <c r="K103" i="21"/>
  <c r="K102" i="21" s="1"/>
  <c r="I103" i="21"/>
  <c r="I102" i="21" s="1"/>
  <c r="H103" i="21"/>
  <c r="H19" i="21" s="1"/>
  <c r="G103" i="21"/>
  <c r="F103" i="21"/>
  <c r="F102" i="21" s="1"/>
  <c r="L102" i="21"/>
  <c r="H102" i="21"/>
  <c r="G102" i="21"/>
  <c r="X101" i="21"/>
  <c r="W101" i="21"/>
  <c r="W16" i="21" s="1"/>
  <c r="U101" i="21"/>
  <c r="T101" i="21"/>
  <c r="S101" i="21"/>
  <c r="S16" i="21" s="1"/>
  <c r="R101" i="21"/>
  <c r="R16" i="21" s="1"/>
  <c r="Q101" i="21"/>
  <c r="P101" i="21"/>
  <c r="N101" i="21"/>
  <c r="N16" i="21" s="1"/>
  <c r="M101" i="21"/>
  <c r="M16" i="21" s="1"/>
  <c r="L101" i="21"/>
  <c r="K101" i="21"/>
  <c r="I101" i="21"/>
  <c r="I16" i="21" s="1"/>
  <c r="H101" i="21"/>
  <c r="H16" i="21" s="1"/>
  <c r="G101" i="21"/>
  <c r="F101" i="21"/>
  <c r="X100" i="21"/>
  <c r="X15" i="21" s="1"/>
  <c r="W100" i="21"/>
  <c r="W15" i="21" s="1"/>
  <c r="U100" i="21"/>
  <c r="U99" i="21" s="1"/>
  <c r="T100" i="21"/>
  <c r="S100" i="21"/>
  <c r="S15" i="21" s="1"/>
  <c r="R100" i="21"/>
  <c r="R15" i="21" s="1"/>
  <c r="Q100" i="21"/>
  <c r="Q99" i="21" s="1"/>
  <c r="P100" i="21"/>
  <c r="N100" i="21"/>
  <c r="N99" i="21" s="1"/>
  <c r="M100" i="21"/>
  <c r="M15" i="21" s="1"/>
  <c r="L100" i="21"/>
  <c r="L99" i="21" s="1"/>
  <c r="K100" i="21"/>
  <c r="I100" i="21"/>
  <c r="I99" i="21" s="1"/>
  <c r="H100" i="21"/>
  <c r="H99" i="21" s="1"/>
  <c r="G100" i="21"/>
  <c r="G99" i="21" s="1"/>
  <c r="F100" i="21"/>
  <c r="F99" i="21"/>
  <c r="V96" i="21"/>
  <c r="V95" i="21" s="1"/>
  <c r="V94" i="21" s="1"/>
  <c r="O96" i="21"/>
  <c r="O95" i="21" s="1"/>
  <c r="O94" i="21" s="1"/>
  <c r="J96" i="21"/>
  <c r="J95" i="21" s="1"/>
  <c r="J94" i="21" s="1"/>
  <c r="E96" i="21"/>
  <c r="E95" i="21" s="1"/>
  <c r="E94" i="21" s="1"/>
  <c r="X95" i="21"/>
  <c r="X94" i="21" s="1"/>
  <c r="W95" i="21"/>
  <c r="W94" i="21" s="1"/>
  <c r="U95" i="21"/>
  <c r="U94" i="21" s="1"/>
  <c r="T95" i="21"/>
  <c r="T94" i="21" s="1"/>
  <c r="S95" i="21"/>
  <c r="S94" i="21" s="1"/>
  <c r="R95" i="21"/>
  <c r="R94" i="21" s="1"/>
  <c r="Q95" i="21"/>
  <c r="Q94" i="21" s="1"/>
  <c r="P95" i="21"/>
  <c r="P94" i="21" s="1"/>
  <c r="N95" i="21"/>
  <c r="N94" i="21" s="1"/>
  <c r="M95" i="21"/>
  <c r="M94" i="21" s="1"/>
  <c r="L95" i="21"/>
  <c r="L94" i="21" s="1"/>
  <c r="K95" i="21"/>
  <c r="K94" i="21" s="1"/>
  <c r="I95" i="21"/>
  <c r="I94" i="21" s="1"/>
  <c r="H95" i="21"/>
  <c r="H94" i="21" s="1"/>
  <c r="G95" i="21"/>
  <c r="F95" i="21"/>
  <c r="F94" i="21" s="1"/>
  <c r="G94" i="21"/>
  <c r="X93" i="21"/>
  <c r="W93" i="21"/>
  <c r="W12" i="21" s="1"/>
  <c r="U93" i="21"/>
  <c r="T93" i="21"/>
  <c r="T12" i="21" s="1"/>
  <c r="T11" i="21" s="1"/>
  <c r="S93" i="21"/>
  <c r="R93" i="21"/>
  <c r="R92" i="21" s="1"/>
  <c r="R91" i="21" s="1"/>
  <c r="Q93" i="21"/>
  <c r="Q92" i="21" s="1"/>
  <c r="Q91" i="21" s="1"/>
  <c r="P93" i="21"/>
  <c r="P12" i="21" s="1"/>
  <c r="P11" i="21" s="1"/>
  <c r="N93" i="21"/>
  <c r="N92" i="21" s="1"/>
  <c r="M93" i="21"/>
  <c r="M12" i="21" s="1"/>
  <c r="M11" i="21" s="1"/>
  <c r="L93" i="21"/>
  <c r="L92" i="21" s="1"/>
  <c r="L91" i="21" s="1"/>
  <c r="K93" i="21"/>
  <c r="K92" i="21" s="1"/>
  <c r="K91" i="21" s="1"/>
  <c r="I93" i="21"/>
  <c r="I92" i="21" s="1"/>
  <c r="I91" i="21" s="1"/>
  <c r="I90" i="21" s="1"/>
  <c r="H93" i="21"/>
  <c r="H92" i="21" s="1"/>
  <c r="H91" i="21" s="1"/>
  <c r="G93" i="21"/>
  <c r="G12" i="21" s="1"/>
  <c r="G11" i="21" s="1"/>
  <c r="F93" i="21"/>
  <c r="F12" i="21" s="1"/>
  <c r="X92" i="21"/>
  <c r="X91" i="21" s="1"/>
  <c r="W92" i="21"/>
  <c r="W91" i="21" s="1"/>
  <c r="U92" i="21"/>
  <c r="U91" i="21" s="1"/>
  <c r="T92" i="21"/>
  <c r="T91" i="21" s="1"/>
  <c r="S92" i="21"/>
  <c r="S91" i="21" s="1"/>
  <c r="M92" i="21"/>
  <c r="M91" i="21" s="1"/>
  <c r="N91" i="21"/>
  <c r="X89" i="21"/>
  <c r="W89" i="21"/>
  <c r="U89" i="21"/>
  <c r="T89" i="21"/>
  <c r="T88" i="21" s="1"/>
  <c r="T87" i="21" s="1"/>
  <c r="T86" i="21" s="1"/>
  <c r="S89" i="21"/>
  <c r="S88" i="21" s="1"/>
  <c r="S87" i="21" s="1"/>
  <c r="R89" i="21"/>
  <c r="R88" i="21" s="1"/>
  <c r="Q89" i="21"/>
  <c r="Q88" i="21" s="1"/>
  <c r="Q87" i="21" s="1"/>
  <c r="P89" i="21"/>
  <c r="N89" i="21"/>
  <c r="N88" i="21" s="1"/>
  <c r="N87" i="21" s="1"/>
  <c r="M89" i="21"/>
  <c r="M88" i="21" s="1"/>
  <c r="M87" i="21" s="1"/>
  <c r="M86" i="21" s="1"/>
  <c r="L89" i="21"/>
  <c r="L88" i="21" s="1"/>
  <c r="L87" i="21" s="1"/>
  <c r="L86" i="21" s="1"/>
  <c r="K89" i="21"/>
  <c r="I89" i="21"/>
  <c r="I88" i="21" s="1"/>
  <c r="I87" i="21" s="1"/>
  <c r="H89" i="21"/>
  <c r="H88" i="21" s="1"/>
  <c r="H87" i="21" s="1"/>
  <c r="G89" i="21"/>
  <c r="G88" i="21" s="1"/>
  <c r="G87" i="21" s="1"/>
  <c r="F89" i="21"/>
  <c r="X88" i="21"/>
  <c r="X87" i="21" s="1"/>
  <c r="W88" i="21"/>
  <c r="W87" i="21" s="1"/>
  <c r="W35" i="21" s="1"/>
  <c r="U88" i="21"/>
  <c r="U87" i="21" s="1"/>
  <c r="R87" i="21"/>
  <c r="R35" i="21" s="1"/>
  <c r="R34" i="21" s="1"/>
  <c r="R33" i="21" s="1"/>
  <c r="V85" i="21"/>
  <c r="V84" i="21" s="1"/>
  <c r="V83" i="21" s="1"/>
  <c r="O85" i="21"/>
  <c r="O84" i="21" s="1"/>
  <c r="O83" i="21" s="1"/>
  <c r="J85" i="21"/>
  <c r="J84" i="21" s="1"/>
  <c r="J83" i="21" s="1"/>
  <c r="E85" i="21"/>
  <c r="E84" i="21" s="1"/>
  <c r="E83" i="21" s="1"/>
  <c r="X84" i="21"/>
  <c r="X83" i="21" s="1"/>
  <c r="W84" i="21"/>
  <c r="W83" i="21" s="1"/>
  <c r="U84" i="21"/>
  <c r="U83" i="21" s="1"/>
  <c r="T84" i="21"/>
  <c r="T83" i="21" s="1"/>
  <c r="S84" i="21"/>
  <c r="S83" i="21" s="1"/>
  <c r="R84" i="21"/>
  <c r="R83" i="21" s="1"/>
  <c r="Q84" i="21"/>
  <c r="Q83" i="21" s="1"/>
  <c r="P84" i="21"/>
  <c r="P83" i="21" s="1"/>
  <c r="N84" i="21"/>
  <c r="M84" i="21"/>
  <c r="M83" i="21" s="1"/>
  <c r="L84" i="21"/>
  <c r="L83" i="21" s="1"/>
  <c r="K84" i="21"/>
  <c r="K83" i="21" s="1"/>
  <c r="I84" i="21"/>
  <c r="I83" i="21" s="1"/>
  <c r="H84" i="21"/>
  <c r="H83" i="21" s="1"/>
  <c r="G84" i="21"/>
  <c r="G83" i="21" s="1"/>
  <c r="F84" i="21"/>
  <c r="N83" i="21"/>
  <c r="F83" i="21"/>
  <c r="V81" i="21"/>
  <c r="O81" i="21"/>
  <c r="J81" i="21"/>
  <c r="E81" i="21"/>
  <c r="V80" i="21"/>
  <c r="V79" i="21" s="1"/>
  <c r="V78" i="21" s="1"/>
  <c r="V77" i="21" s="1"/>
  <c r="O80" i="21"/>
  <c r="O79" i="21" s="1"/>
  <c r="O78" i="21" s="1"/>
  <c r="O77" i="21" s="1"/>
  <c r="J80" i="21"/>
  <c r="E80" i="21"/>
  <c r="E79" i="21" s="1"/>
  <c r="E78" i="21" s="1"/>
  <c r="E77" i="21" s="1"/>
  <c r="X79" i="21"/>
  <c r="X78" i="21" s="1"/>
  <c r="X77" i="21" s="1"/>
  <c r="W79" i="21"/>
  <c r="U79" i="21"/>
  <c r="T79" i="21"/>
  <c r="T78" i="21" s="1"/>
  <c r="T77" i="21" s="1"/>
  <c r="S79" i="21"/>
  <c r="S78" i="21" s="1"/>
  <c r="S77" i="21" s="1"/>
  <c r="R79" i="21"/>
  <c r="R78" i="21" s="1"/>
  <c r="R77" i="21" s="1"/>
  <c r="Q79" i="21"/>
  <c r="Q78" i="21" s="1"/>
  <c r="Q77" i="21" s="1"/>
  <c r="P79" i="21"/>
  <c r="P78" i="21" s="1"/>
  <c r="P77" i="21" s="1"/>
  <c r="N79" i="21"/>
  <c r="N78" i="21" s="1"/>
  <c r="N77" i="21" s="1"/>
  <c r="M79" i="21"/>
  <c r="L79" i="21"/>
  <c r="L78" i="21" s="1"/>
  <c r="L77" i="21" s="1"/>
  <c r="K79" i="21"/>
  <c r="K78" i="21" s="1"/>
  <c r="K77" i="21" s="1"/>
  <c r="I79" i="21"/>
  <c r="I78" i="21" s="1"/>
  <c r="I77" i="21" s="1"/>
  <c r="H79" i="21"/>
  <c r="H78" i="21" s="1"/>
  <c r="H77" i="21" s="1"/>
  <c r="G79" i="21"/>
  <c r="G78" i="21" s="1"/>
  <c r="G77" i="21" s="1"/>
  <c r="F79" i="21"/>
  <c r="F78" i="21" s="1"/>
  <c r="F77" i="21" s="1"/>
  <c r="W78" i="21"/>
  <c r="W77" i="21" s="1"/>
  <c r="U78" i="21"/>
  <c r="U77" i="21" s="1"/>
  <c r="M78" i="21"/>
  <c r="M77" i="21" s="1"/>
  <c r="V76" i="21"/>
  <c r="V75" i="21" s="1"/>
  <c r="V74" i="21" s="1"/>
  <c r="V73" i="21" s="1"/>
  <c r="O76" i="21"/>
  <c r="O75" i="21" s="1"/>
  <c r="O74" i="21" s="1"/>
  <c r="J76" i="21"/>
  <c r="J75" i="21" s="1"/>
  <c r="J74" i="21" s="1"/>
  <c r="J73" i="21" s="1"/>
  <c r="E76" i="21"/>
  <c r="E75" i="21" s="1"/>
  <c r="E74" i="21" s="1"/>
  <c r="E73" i="21" s="1"/>
  <c r="D76" i="21"/>
  <c r="D75" i="21" s="1"/>
  <c r="D74" i="21" s="1"/>
  <c r="D73" i="21" s="1"/>
  <c r="X75" i="21"/>
  <c r="X74" i="21" s="1"/>
  <c r="X73" i="21" s="1"/>
  <c r="W75" i="21"/>
  <c r="W74" i="21" s="1"/>
  <c r="W73" i="21" s="1"/>
  <c r="U75" i="21"/>
  <c r="U74" i="21" s="1"/>
  <c r="U73" i="21" s="1"/>
  <c r="T75" i="21"/>
  <c r="T74" i="21" s="1"/>
  <c r="T73" i="21" s="1"/>
  <c r="S75" i="21"/>
  <c r="R75" i="21"/>
  <c r="R74" i="21" s="1"/>
  <c r="R73" i="21" s="1"/>
  <c r="Q75" i="21"/>
  <c r="Q74" i="21" s="1"/>
  <c r="Q73" i="21" s="1"/>
  <c r="P75" i="21"/>
  <c r="P74" i="21" s="1"/>
  <c r="P73" i="21" s="1"/>
  <c r="N75" i="21"/>
  <c r="M75" i="21"/>
  <c r="L75" i="21"/>
  <c r="L74" i="21" s="1"/>
  <c r="L73" i="21" s="1"/>
  <c r="K75" i="21"/>
  <c r="K74" i="21" s="1"/>
  <c r="K73" i="21" s="1"/>
  <c r="I75" i="21"/>
  <c r="H75" i="21"/>
  <c r="H74" i="21" s="1"/>
  <c r="H73" i="21" s="1"/>
  <c r="G75" i="21"/>
  <c r="F75" i="21"/>
  <c r="F74" i="21" s="1"/>
  <c r="F73" i="21" s="1"/>
  <c r="S74" i="21"/>
  <c r="S73" i="21" s="1"/>
  <c r="N74" i="21"/>
  <c r="N73" i="21" s="1"/>
  <c r="M74" i="21"/>
  <c r="M73" i="21" s="1"/>
  <c r="I74" i="21"/>
  <c r="I73" i="21" s="1"/>
  <c r="G74" i="21"/>
  <c r="G73" i="21" s="1"/>
  <c r="O73" i="21"/>
  <c r="V72" i="21"/>
  <c r="O72" i="21"/>
  <c r="J72" i="21"/>
  <c r="E72" i="21"/>
  <c r="V71" i="21"/>
  <c r="O71" i="21"/>
  <c r="J71" i="21"/>
  <c r="E71" i="21"/>
  <c r="V70" i="21"/>
  <c r="O70" i="21"/>
  <c r="J70" i="21"/>
  <c r="E70" i="21"/>
  <c r="V69" i="21"/>
  <c r="V68" i="21" s="1"/>
  <c r="O69" i="21"/>
  <c r="O68" i="21" s="1"/>
  <c r="J69" i="21"/>
  <c r="E69" i="21"/>
  <c r="X68" i="21"/>
  <c r="W68" i="21"/>
  <c r="U68" i="21"/>
  <c r="T68" i="21"/>
  <c r="S68" i="21"/>
  <c r="R68" i="21"/>
  <c r="Q68" i="21"/>
  <c r="P68" i="21"/>
  <c r="N68" i="21"/>
  <c r="M68" i="21"/>
  <c r="L68" i="21"/>
  <c r="K68" i="21"/>
  <c r="I68" i="21"/>
  <c r="H68" i="21"/>
  <c r="G68" i="21"/>
  <c r="F68" i="21"/>
  <c r="V67" i="21"/>
  <c r="O67" i="21"/>
  <c r="J67" i="21"/>
  <c r="E67" i="21"/>
  <c r="V66" i="21"/>
  <c r="V65" i="21" s="1"/>
  <c r="O66" i="21"/>
  <c r="O65" i="21" s="1"/>
  <c r="J66" i="21"/>
  <c r="J65" i="21" s="1"/>
  <c r="E66" i="21"/>
  <c r="X65" i="21"/>
  <c r="W65" i="21"/>
  <c r="U65" i="21"/>
  <c r="T65" i="21"/>
  <c r="S65" i="21"/>
  <c r="R65" i="21"/>
  <c r="Q65" i="21"/>
  <c r="P65" i="21"/>
  <c r="N65" i="21"/>
  <c r="M65" i="21"/>
  <c r="L65" i="21"/>
  <c r="K65" i="21"/>
  <c r="I65" i="21"/>
  <c r="H65" i="21"/>
  <c r="G65" i="21"/>
  <c r="F65" i="21"/>
  <c r="V64" i="21"/>
  <c r="O64" i="21"/>
  <c r="J64" i="21"/>
  <c r="E64" i="21"/>
  <c r="V63" i="21"/>
  <c r="V62" i="21" s="1"/>
  <c r="O63" i="21"/>
  <c r="J63" i="21"/>
  <c r="J62" i="21" s="1"/>
  <c r="E63" i="21"/>
  <c r="X62" i="21"/>
  <c r="W62" i="21"/>
  <c r="U62" i="21"/>
  <c r="T62" i="21"/>
  <c r="S62" i="21"/>
  <c r="R62" i="21"/>
  <c r="Q62" i="21"/>
  <c r="P62" i="21"/>
  <c r="N62" i="21"/>
  <c r="M62" i="21"/>
  <c r="L62" i="21"/>
  <c r="K62" i="21"/>
  <c r="I62" i="21"/>
  <c r="H62" i="21"/>
  <c r="G62" i="21"/>
  <c r="F62" i="21"/>
  <c r="V61" i="21"/>
  <c r="V60" i="21" s="1"/>
  <c r="O61" i="21"/>
  <c r="O60" i="21" s="1"/>
  <c r="J61" i="21"/>
  <c r="E61" i="21"/>
  <c r="E60" i="21" s="1"/>
  <c r="X60" i="21"/>
  <c r="W60" i="21"/>
  <c r="U60" i="21"/>
  <c r="T60" i="21"/>
  <c r="S60" i="21"/>
  <c r="R60" i="21"/>
  <c r="Q60" i="21"/>
  <c r="P60" i="21"/>
  <c r="N60" i="21"/>
  <c r="M60" i="21"/>
  <c r="L60" i="21"/>
  <c r="K60" i="21"/>
  <c r="I60" i="21"/>
  <c r="H60" i="21"/>
  <c r="G60" i="21"/>
  <c r="F60" i="21"/>
  <c r="X58" i="21"/>
  <c r="W58" i="21"/>
  <c r="U58" i="21"/>
  <c r="U57" i="21" s="1"/>
  <c r="U56" i="21" s="1"/>
  <c r="T58" i="21"/>
  <c r="T57" i="21" s="1"/>
  <c r="T56" i="21" s="1"/>
  <c r="S58" i="21"/>
  <c r="R58" i="21"/>
  <c r="Q58" i="21"/>
  <c r="P58" i="21"/>
  <c r="P57" i="21" s="1"/>
  <c r="P56" i="21" s="1"/>
  <c r="N58" i="21"/>
  <c r="M58" i="21"/>
  <c r="M57" i="21" s="1"/>
  <c r="M56" i="21" s="1"/>
  <c r="L58" i="21"/>
  <c r="K58" i="21"/>
  <c r="I58" i="21"/>
  <c r="I57" i="21" s="1"/>
  <c r="I56" i="21" s="1"/>
  <c r="H58" i="21"/>
  <c r="H57" i="21" s="1"/>
  <c r="H56" i="21" s="1"/>
  <c r="G58" i="21"/>
  <c r="G57" i="21" s="1"/>
  <c r="G56" i="21" s="1"/>
  <c r="F58" i="21"/>
  <c r="F57" i="21" s="1"/>
  <c r="F56" i="21" s="1"/>
  <c r="X57" i="21"/>
  <c r="X56" i="21" s="1"/>
  <c r="R57" i="21"/>
  <c r="R56" i="21" s="1"/>
  <c r="K57" i="21"/>
  <c r="K56" i="21" s="1"/>
  <c r="V52" i="21"/>
  <c r="O52" i="21"/>
  <c r="J52" i="21"/>
  <c r="E52" i="21"/>
  <c r="V51" i="21"/>
  <c r="O51" i="21"/>
  <c r="J51" i="21"/>
  <c r="E51" i="21"/>
  <c r="W50" i="21"/>
  <c r="W49" i="21" s="1"/>
  <c r="W48" i="21" s="1"/>
  <c r="U50" i="21"/>
  <c r="U49" i="21" s="1"/>
  <c r="U48" i="21" s="1"/>
  <c r="T50" i="21"/>
  <c r="T49" i="21" s="1"/>
  <c r="T48" i="21" s="1"/>
  <c r="R50" i="21"/>
  <c r="R49" i="21" s="1"/>
  <c r="R48" i="21" s="1"/>
  <c r="Q50" i="21"/>
  <c r="P50" i="21"/>
  <c r="P49" i="21" s="1"/>
  <c r="P48" i="21" s="1"/>
  <c r="M50" i="21"/>
  <c r="M49" i="21" s="1"/>
  <c r="M48" i="21" s="1"/>
  <c r="L50" i="21"/>
  <c r="K50" i="21"/>
  <c r="K49" i="21" s="1"/>
  <c r="K48" i="21" s="1"/>
  <c r="H50" i="21"/>
  <c r="H49" i="21" s="1"/>
  <c r="H48" i="21" s="1"/>
  <c r="G50" i="21"/>
  <c r="G49" i="21" s="1"/>
  <c r="G48" i="21" s="1"/>
  <c r="F50" i="21"/>
  <c r="L49" i="21"/>
  <c r="L48" i="21" s="1"/>
  <c r="X47" i="21"/>
  <c r="U47" i="21"/>
  <c r="U46" i="21" s="1"/>
  <c r="U45" i="21" s="1"/>
  <c r="S47" i="21"/>
  <c r="S46" i="21" s="1"/>
  <c r="S45" i="21" s="1"/>
  <c r="R47" i="21"/>
  <c r="R46" i="21" s="1"/>
  <c r="R45" i="21" s="1"/>
  <c r="Q47" i="21"/>
  <c r="Q46" i="21" s="1"/>
  <c r="Q45" i="21" s="1"/>
  <c r="N47" i="21"/>
  <c r="N46" i="21" s="1"/>
  <c r="N45" i="21" s="1"/>
  <c r="M47" i="21"/>
  <c r="M46" i="21" s="1"/>
  <c r="M45" i="21" s="1"/>
  <c r="L47" i="21"/>
  <c r="I47" i="21"/>
  <c r="I46" i="21" s="1"/>
  <c r="I45" i="21" s="1"/>
  <c r="H47" i="21"/>
  <c r="H46" i="21" s="1"/>
  <c r="H45" i="21" s="1"/>
  <c r="G47" i="21"/>
  <c r="G46" i="21"/>
  <c r="G45" i="21" s="1"/>
  <c r="X44" i="21"/>
  <c r="U44" i="21"/>
  <c r="S44" i="21"/>
  <c r="R44" i="21"/>
  <c r="Q44" i="21"/>
  <c r="N44" i="21"/>
  <c r="L44" i="21"/>
  <c r="I44" i="21"/>
  <c r="G44" i="21"/>
  <c r="X43" i="21"/>
  <c r="U43" i="21"/>
  <c r="S43" i="21"/>
  <c r="R43" i="21"/>
  <c r="Q43" i="21"/>
  <c r="N43" i="21"/>
  <c r="L43" i="21"/>
  <c r="I43" i="21"/>
  <c r="G43" i="21"/>
  <c r="X42" i="21"/>
  <c r="U42" i="21"/>
  <c r="S42" i="21"/>
  <c r="Q42" i="21"/>
  <c r="N42" i="21"/>
  <c r="L42" i="21"/>
  <c r="I42" i="21"/>
  <c r="G42" i="21"/>
  <c r="F42" i="21"/>
  <c r="X41" i="21"/>
  <c r="U41" i="21"/>
  <c r="S41" i="21"/>
  <c r="Q41" i="21"/>
  <c r="N41" i="21"/>
  <c r="L41" i="21"/>
  <c r="I41" i="21"/>
  <c r="G41" i="21"/>
  <c r="F41" i="21"/>
  <c r="X40" i="21"/>
  <c r="U40" i="21"/>
  <c r="S40" i="21"/>
  <c r="Q40" i="21"/>
  <c r="N40" i="21"/>
  <c r="L40" i="21"/>
  <c r="I40" i="21"/>
  <c r="G40" i="21"/>
  <c r="X39" i="21"/>
  <c r="U39" i="21"/>
  <c r="S39" i="21"/>
  <c r="Q39" i="21"/>
  <c r="N39" i="21"/>
  <c r="L39" i="21"/>
  <c r="I39" i="21"/>
  <c r="G39" i="21"/>
  <c r="U38" i="21"/>
  <c r="S38" i="21"/>
  <c r="Q38" i="21"/>
  <c r="N38" i="21"/>
  <c r="L38" i="21"/>
  <c r="I38" i="21"/>
  <c r="X37" i="21"/>
  <c r="T37" i="21"/>
  <c r="S37" i="21"/>
  <c r="N37" i="21"/>
  <c r="L37" i="21"/>
  <c r="I37" i="21"/>
  <c r="G37" i="21"/>
  <c r="F37" i="21"/>
  <c r="X30" i="21"/>
  <c r="W30" i="21"/>
  <c r="U30" i="21"/>
  <c r="R30" i="21"/>
  <c r="Q30" i="21"/>
  <c r="N30" i="21"/>
  <c r="I30" i="21"/>
  <c r="X29" i="21"/>
  <c r="U29" i="21"/>
  <c r="T29" i="21"/>
  <c r="Q29" i="21"/>
  <c r="P29" i="21"/>
  <c r="N29" i="21"/>
  <c r="L29" i="21"/>
  <c r="K29" i="21"/>
  <c r="I29" i="21"/>
  <c r="G29" i="21"/>
  <c r="F29" i="21"/>
  <c r="X28" i="21"/>
  <c r="W28" i="21"/>
  <c r="U28" i="21"/>
  <c r="T28" i="21"/>
  <c r="S28" i="21"/>
  <c r="R28" i="21"/>
  <c r="Q28" i="21"/>
  <c r="P28" i="21"/>
  <c r="N28" i="21"/>
  <c r="M28" i="21"/>
  <c r="L28" i="21"/>
  <c r="K28" i="21"/>
  <c r="I28" i="21"/>
  <c r="G28" i="21"/>
  <c r="F28" i="21"/>
  <c r="X27" i="21"/>
  <c r="W27" i="21"/>
  <c r="T27" i="21"/>
  <c r="S27" i="21"/>
  <c r="R27" i="21"/>
  <c r="P27" i="21"/>
  <c r="N27" i="21"/>
  <c r="M27" i="21"/>
  <c r="K27" i="21"/>
  <c r="I27" i="21"/>
  <c r="H27" i="21"/>
  <c r="F27" i="21"/>
  <c r="X26" i="21"/>
  <c r="W26" i="21"/>
  <c r="U26" i="21"/>
  <c r="T26" i="21"/>
  <c r="S26" i="21"/>
  <c r="R26" i="21"/>
  <c r="Q26" i="21"/>
  <c r="P26" i="21"/>
  <c r="N26" i="21"/>
  <c r="M26" i="21"/>
  <c r="L26" i="21"/>
  <c r="K26" i="21"/>
  <c r="I26" i="21"/>
  <c r="G26" i="21"/>
  <c r="F26" i="21"/>
  <c r="U25" i="21"/>
  <c r="T25" i="21"/>
  <c r="Q25" i="21"/>
  <c r="P25" i="21"/>
  <c r="M25" i="21"/>
  <c r="L25" i="21"/>
  <c r="K25" i="21"/>
  <c r="H25" i="21"/>
  <c r="G25" i="21"/>
  <c r="F25" i="21"/>
  <c r="W24" i="21"/>
  <c r="U24" i="21"/>
  <c r="T24" i="21"/>
  <c r="R24" i="21"/>
  <c r="Q24" i="21"/>
  <c r="P24" i="21"/>
  <c r="O24" i="21" s="1"/>
  <c r="M24" i="21"/>
  <c r="L24" i="21"/>
  <c r="K24" i="21"/>
  <c r="I24" i="21"/>
  <c r="H24" i="21"/>
  <c r="G24" i="21"/>
  <c r="F24" i="21"/>
  <c r="W22" i="21"/>
  <c r="T22" i="21"/>
  <c r="P22" i="21"/>
  <c r="K22" i="21"/>
  <c r="H22" i="21"/>
  <c r="F22" i="21"/>
  <c r="T21" i="21"/>
  <c r="Q21" i="21"/>
  <c r="P21" i="21"/>
  <c r="N21" i="21"/>
  <c r="L21" i="21"/>
  <c r="K21" i="21"/>
  <c r="F21" i="21"/>
  <c r="F20" i="21" s="1"/>
  <c r="W19" i="21"/>
  <c r="U19" i="21"/>
  <c r="S19" i="21"/>
  <c r="Q19" i="21"/>
  <c r="P19" i="21"/>
  <c r="O19" i="21" s="1"/>
  <c r="L19" i="21"/>
  <c r="G19" i="21"/>
  <c r="X18" i="21"/>
  <c r="W18" i="21"/>
  <c r="U18" i="21"/>
  <c r="T18" i="21"/>
  <c r="S18" i="21"/>
  <c r="R18" i="21"/>
  <c r="Q18" i="21"/>
  <c r="P18" i="21"/>
  <c r="N18" i="21"/>
  <c r="M18" i="21"/>
  <c r="L18" i="21"/>
  <c r="K18" i="21"/>
  <c r="I18" i="21"/>
  <c r="H18" i="21"/>
  <c r="G18" i="21"/>
  <c r="F18" i="21"/>
  <c r="Q17" i="21"/>
  <c r="X16" i="21"/>
  <c r="U16" i="21"/>
  <c r="T16" i="21"/>
  <c r="Q16" i="21"/>
  <c r="P16" i="21"/>
  <c r="L16" i="21"/>
  <c r="K16" i="21"/>
  <c r="G16" i="21"/>
  <c r="F16" i="21"/>
  <c r="U15" i="21"/>
  <c r="T15" i="21"/>
  <c r="Q15" i="21"/>
  <c r="P15" i="21"/>
  <c r="L15" i="21"/>
  <c r="K15" i="21"/>
  <c r="G15" i="21"/>
  <c r="G14" i="21" s="1"/>
  <c r="F15" i="21"/>
  <c r="V13" i="21"/>
  <c r="O13" i="21"/>
  <c r="J13" i="21"/>
  <c r="E13" i="21"/>
  <c r="X12" i="21"/>
  <c r="X11" i="21" s="1"/>
  <c r="U12" i="21"/>
  <c r="U11" i="21" s="1"/>
  <c r="S12" i="21"/>
  <c r="S11" i="21" s="1"/>
  <c r="Q12" i="21"/>
  <c r="Q11" i="21" s="1"/>
  <c r="N12" i="21"/>
  <c r="N11" i="21" s="1"/>
  <c r="I12" i="21"/>
  <c r="I11" i="21" s="1"/>
  <c r="H12" i="21"/>
  <c r="H11" i="21" s="1"/>
  <c r="W11" i="21" l="1"/>
  <c r="V12" i="21"/>
  <c r="I86" i="21"/>
  <c r="I35" i="21"/>
  <c r="I34" i="21" s="1"/>
  <c r="I33" i="21" s="1"/>
  <c r="N86" i="21"/>
  <c r="N35" i="21"/>
  <c r="N34" i="21" s="1"/>
  <c r="N33" i="21" s="1"/>
  <c r="R12" i="21"/>
  <c r="R11" i="21" s="1"/>
  <c r="N17" i="21"/>
  <c r="N19" i="21"/>
  <c r="I21" i="21"/>
  <c r="O28" i="21"/>
  <c r="W29" i="21"/>
  <c r="V29" i="21" s="1"/>
  <c r="K30" i="21"/>
  <c r="S30" i="21"/>
  <c r="F31" i="21"/>
  <c r="M99" i="21"/>
  <c r="Q113" i="21"/>
  <c r="V127" i="21"/>
  <c r="X134" i="21"/>
  <c r="M157" i="21"/>
  <c r="M156" i="21" s="1"/>
  <c r="T31" i="21"/>
  <c r="W251" i="21"/>
  <c r="X287" i="21"/>
  <c r="G310" i="21"/>
  <c r="G309" i="21" s="1"/>
  <c r="H310" i="21"/>
  <c r="H309" i="21" s="1"/>
  <c r="D326" i="21"/>
  <c r="V42" i="21"/>
  <c r="G22" i="21"/>
  <c r="E22" i="21" s="1"/>
  <c r="R25" i="21"/>
  <c r="P31" i="21"/>
  <c r="N22" i="21"/>
  <c r="N20" i="21" s="1"/>
  <c r="S22" i="21"/>
  <c r="S20" i="21" s="1"/>
  <c r="X22" i="21"/>
  <c r="T90" i="21"/>
  <c r="O113" i="21"/>
  <c r="E39" i="21"/>
  <c r="O40" i="21"/>
  <c r="J138" i="21"/>
  <c r="R298" i="21"/>
  <c r="R297" i="21" s="1"/>
  <c r="I19" i="21"/>
  <c r="X19" i="21"/>
  <c r="S21" i="21"/>
  <c r="S24" i="21"/>
  <c r="Q27" i="21"/>
  <c r="O27" i="21" s="1"/>
  <c r="U27" i="21"/>
  <c r="F30" i="21"/>
  <c r="M212" i="21"/>
  <c r="L291" i="21"/>
  <c r="L287" i="21" s="1"/>
  <c r="U291" i="21"/>
  <c r="R231" i="21"/>
  <c r="R230" i="21" s="1"/>
  <c r="R31" i="21"/>
  <c r="H26" i="21"/>
  <c r="E26" i="21" s="1"/>
  <c r="T30" i="21"/>
  <c r="T23" i="21" s="1"/>
  <c r="H113" i="21"/>
  <c r="E128" i="21"/>
  <c r="F43" i="21"/>
  <c r="F36" i="21" s="1"/>
  <c r="O129" i="21"/>
  <c r="P44" i="21"/>
  <c r="O44" i="21" s="1"/>
  <c r="R291" i="21"/>
  <c r="R29" i="21"/>
  <c r="D29" i="21" s="1"/>
  <c r="M328" i="21"/>
  <c r="M327" i="21" s="1"/>
  <c r="M30" i="21"/>
  <c r="N15" i="21"/>
  <c r="K12" i="21"/>
  <c r="K11" i="21" s="1"/>
  <c r="I15" i="21"/>
  <c r="I14" i="21" s="1"/>
  <c r="O15" i="21"/>
  <c r="O18" i="21"/>
  <c r="T17" i="21"/>
  <c r="F19" i="21"/>
  <c r="F17" i="21" s="1"/>
  <c r="G21" i="21"/>
  <c r="V22" i="21"/>
  <c r="E25" i="21"/>
  <c r="J25" i="21"/>
  <c r="J28" i="21"/>
  <c r="L31" i="21"/>
  <c r="H90" i="21"/>
  <c r="M243" i="21"/>
  <c r="R243" i="21"/>
  <c r="W243" i="21"/>
  <c r="I17" i="21"/>
  <c r="K19" i="21"/>
  <c r="P30" i="21"/>
  <c r="O30" i="21" s="1"/>
  <c r="W31" i="21"/>
  <c r="E50" i="21"/>
  <c r="E49" i="21" s="1"/>
  <c r="E48" i="21" s="1"/>
  <c r="Q14" i="21"/>
  <c r="O16" i="21"/>
  <c r="T19" i="21"/>
  <c r="U21" i="21"/>
  <c r="O29" i="21"/>
  <c r="I150" i="21"/>
  <c r="I149" i="21" s="1"/>
  <c r="I50" i="21"/>
  <c r="I49" i="21" s="1"/>
  <c r="I48" i="21" s="1"/>
  <c r="N150" i="21"/>
  <c r="N149" i="21" s="1"/>
  <c r="N145" i="21" s="1"/>
  <c r="N144" i="21" s="1"/>
  <c r="N50" i="21"/>
  <c r="N49" i="21" s="1"/>
  <c r="N48" i="21" s="1"/>
  <c r="S150" i="21"/>
  <c r="S149" i="21" s="1"/>
  <c r="S50" i="21"/>
  <c r="S49" i="21" s="1"/>
  <c r="S48" i="21" s="1"/>
  <c r="X150" i="21"/>
  <c r="X149" i="21" s="1"/>
  <c r="X50" i="21"/>
  <c r="W147" i="21"/>
  <c r="W146" i="21" s="1"/>
  <c r="W47" i="21"/>
  <c r="W46" i="21" s="1"/>
  <c r="W45" i="21" s="1"/>
  <c r="N318" i="21"/>
  <c r="N317" i="21" s="1"/>
  <c r="N31" i="21"/>
  <c r="V26" i="21"/>
  <c r="V27" i="21"/>
  <c r="V28" i="21"/>
  <c r="I59" i="21"/>
  <c r="I55" i="21" s="1"/>
  <c r="U90" i="21"/>
  <c r="L90" i="21"/>
  <c r="W90" i="21"/>
  <c r="O101" i="21"/>
  <c r="R22" i="21"/>
  <c r="V106" i="21"/>
  <c r="S113" i="21"/>
  <c r="O139" i="21"/>
  <c r="L212" i="21"/>
  <c r="L208" i="21" s="1"/>
  <c r="E243" i="21"/>
  <c r="I243" i="21"/>
  <c r="J251" i="21"/>
  <c r="G251" i="21"/>
  <c r="G250" i="21" s="1"/>
  <c r="O266" i="21"/>
  <c r="W287" i="21"/>
  <c r="L22" i="21"/>
  <c r="Q22" i="21"/>
  <c r="O22" i="21" s="1"/>
  <c r="T59" i="21"/>
  <c r="T55" i="21" s="1"/>
  <c r="N90" i="21"/>
  <c r="S90" i="21"/>
  <c r="G98" i="21"/>
  <c r="G97" i="21" s="1"/>
  <c r="V103" i="21"/>
  <c r="V102" i="21" s="1"/>
  <c r="W36" i="21"/>
  <c r="V40" i="21"/>
  <c r="V41" i="21"/>
  <c r="D133" i="21"/>
  <c r="D132" i="21" s="1"/>
  <c r="D131" i="21" s="1"/>
  <c r="D130" i="21" s="1"/>
  <c r="V139" i="21"/>
  <c r="W25" i="21"/>
  <c r="V25" i="21" s="1"/>
  <c r="P265" i="21"/>
  <c r="X310" i="21"/>
  <c r="X309" i="21" s="1"/>
  <c r="V324" i="21"/>
  <c r="V323" i="21" s="1"/>
  <c r="V322" i="21" s="1"/>
  <c r="V58" i="21"/>
  <c r="V57" i="21" s="1"/>
  <c r="V56" i="21" s="1"/>
  <c r="V16" i="21"/>
  <c r="U113" i="21"/>
  <c r="J113" i="21"/>
  <c r="D141" i="21"/>
  <c r="K235" i="21"/>
  <c r="T266" i="21"/>
  <c r="T265" i="21" s="1"/>
  <c r="P310" i="21"/>
  <c r="P309" i="21" s="1"/>
  <c r="M14" i="21"/>
  <c r="R20" i="21"/>
  <c r="U14" i="21"/>
  <c r="R14" i="21"/>
  <c r="M104" i="21"/>
  <c r="O17" i="21"/>
  <c r="H21" i="21"/>
  <c r="H20" i="21" s="1"/>
  <c r="V24" i="21"/>
  <c r="L30" i="21"/>
  <c r="G31" i="21"/>
  <c r="O41" i="21"/>
  <c r="S57" i="21"/>
  <c r="S56" i="21" s="1"/>
  <c r="F59" i="21"/>
  <c r="N59" i="21"/>
  <c r="D72" i="21"/>
  <c r="N82" i="21"/>
  <c r="E100" i="21"/>
  <c r="I98" i="21"/>
  <c r="I97" i="21" s="1"/>
  <c r="S14" i="21"/>
  <c r="X14" i="21"/>
  <c r="N14" i="21"/>
  <c r="I22" i="21"/>
  <c r="I20" i="21" s="1"/>
  <c r="V38" i="21"/>
  <c r="E176" i="21"/>
  <c r="E175" i="21" s="1"/>
  <c r="E174" i="21" s="1"/>
  <c r="D177" i="21"/>
  <c r="S243" i="21"/>
  <c r="D296" i="21"/>
  <c r="D295" i="21" s="1"/>
  <c r="E295" i="21"/>
  <c r="P14" i="21"/>
  <c r="L14" i="21"/>
  <c r="L17" i="21"/>
  <c r="U17" i="21"/>
  <c r="S17" i="21"/>
  <c r="M22" i="21"/>
  <c r="J22" i="21" s="1"/>
  <c r="E29" i="21"/>
  <c r="G30" i="21"/>
  <c r="I31" i="21"/>
  <c r="I23" i="21" s="1"/>
  <c r="J37" i="21"/>
  <c r="V39" i="21"/>
  <c r="N57" i="21"/>
  <c r="N56" i="21" s="1"/>
  <c r="L20" i="21"/>
  <c r="L59" i="21"/>
  <c r="Q59" i="21"/>
  <c r="U59" i="21"/>
  <c r="U55" i="21" s="1"/>
  <c r="P59" i="21"/>
  <c r="P55" i="21" s="1"/>
  <c r="G92" i="21"/>
  <c r="G91" i="21" s="1"/>
  <c r="G90" i="21" s="1"/>
  <c r="M90" i="21"/>
  <c r="E103" i="21"/>
  <c r="J106" i="21"/>
  <c r="S112" i="21"/>
  <c r="V113" i="21"/>
  <c r="J123" i="21"/>
  <c r="O38" i="21"/>
  <c r="K251" i="21"/>
  <c r="K250" i="21" s="1"/>
  <c r="J30" i="21"/>
  <c r="R90" i="21"/>
  <c r="H15" i="21"/>
  <c r="H14" i="21" s="1"/>
  <c r="J15" i="21"/>
  <c r="T14" i="21"/>
  <c r="M17" i="21"/>
  <c r="K20" i="21"/>
  <c r="J24" i="21"/>
  <c r="D24" i="21" s="1"/>
  <c r="E28" i="21"/>
  <c r="K31" i="21"/>
  <c r="K23" i="21" s="1"/>
  <c r="X31" i="21"/>
  <c r="V31" i="21" s="1"/>
  <c r="S36" i="21"/>
  <c r="J39" i="21"/>
  <c r="O39" i="21"/>
  <c r="J40" i="21"/>
  <c r="V50" i="21"/>
  <c r="V49" i="21" s="1"/>
  <c r="V48" i="21" s="1"/>
  <c r="W57" i="21"/>
  <c r="W56" i="21" s="1"/>
  <c r="D64" i="21"/>
  <c r="I82" i="21"/>
  <c r="V93" i="21"/>
  <c r="V92" i="21" s="1"/>
  <c r="V91" i="21" s="1"/>
  <c r="V90" i="21" s="1"/>
  <c r="Q90" i="21"/>
  <c r="O106" i="21"/>
  <c r="D109" i="21"/>
  <c r="D110" i="21"/>
  <c r="O122" i="21"/>
  <c r="J221" i="21"/>
  <c r="V251" i="21"/>
  <c r="V250" i="21" s="1"/>
  <c r="E127" i="21"/>
  <c r="J127" i="21"/>
  <c r="R145" i="21"/>
  <c r="R144" i="21" s="1"/>
  <c r="E151" i="21"/>
  <c r="E150" i="21" s="1"/>
  <c r="E149" i="21" s="1"/>
  <c r="J151" i="21"/>
  <c r="J150" i="21" s="1"/>
  <c r="J149" i="21" s="1"/>
  <c r="J157" i="21"/>
  <c r="J156" i="21" s="1"/>
  <c r="D211" i="21"/>
  <c r="D210" i="21" s="1"/>
  <c r="D209" i="21" s="1"/>
  <c r="H212" i="21"/>
  <c r="H208" i="21" s="1"/>
  <c r="P212" i="21"/>
  <c r="P208" i="21" s="1"/>
  <c r="T212" i="21"/>
  <c r="H31" i="21"/>
  <c r="K243" i="21"/>
  <c r="L251" i="21"/>
  <c r="L250" i="21" s="1"/>
  <c r="Q251" i="21"/>
  <c r="U251" i="21"/>
  <c r="D254" i="21"/>
  <c r="D269" i="21"/>
  <c r="S266" i="21"/>
  <c r="X266" i="21"/>
  <c r="X265" i="21" s="1"/>
  <c r="U287" i="21"/>
  <c r="H287" i="21"/>
  <c r="K298" i="21"/>
  <c r="K297" i="21" s="1"/>
  <c r="D340" i="21"/>
  <c r="F134" i="21"/>
  <c r="O137" i="21"/>
  <c r="O136" i="21" s="1"/>
  <c r="O135" i="21" s="1"/>
  <c r="T134" i="21"/>
  <c r="Q212" i="21"/>
  <c r="M251" i="21"/>
  <c r="M250" i="21" s="1"/>
  <c r="G266" i="21"/>
  <c r="G265" i="21" s="1"/>
  <c r="L266" i="21"/>
  <c r="L265" i="21" s="1"/>
  <c r="H291" i="21"/>
  <c r="G298" i="21"/>
  <c r="G297" i="21" s="1"/>
  <c r="L298" i="21"/>
  <c r="L297" i="21" s="1"/>
  <c r="O298" i="21"/>
  <c r="O297" i="21" s="1"/>
  <c r="M310" i="21"/>
  <c r="M309" i="21" s="1"/>
  <c r="Q310" i="21"/>
  <c r="Q309" i="21" s="1"/>
  <c r="U310" i="21"/>
  <c r="U309" i="21" s="1"/>
  <c r="D313" i="21"/>
  <c r="K310" i="21"/>
  <c r="K309" i="21" s="1"/>
  <c r="O126" i="21"/>
  <c r="V138" i="21"/>
  <c r="M145" i="21"/>
  <c r="M144" i="21" s="1"/>
  <c r="T145" i="21"/>
  <c r="T144" i="21" s="1"/>
  <c r="G145" i="21"/>
  <c r="G144" i="21" s="1"/>
  <c r="S145" i="21"/>
  <c r="S144" i="21" s="1"/>
  <c r="F157" i="21"/>
  <c r="F156" i="21" s="1"/>
  <c r="K157" i="21"/>
  <c r="K156" i="21" s="1"/>
  <c r="V157" i="21"/>
  <c r="V156" i="21" s="1"/>
  <c r="I157" i="21"/>
  <c r="I156" i="21" s="1"/>
  <c r="S251" i="21"/>
  <c r="S250" i="21" s="1"/>
  <c r="R266" i="21"/>
  <c r="R265" i="21" s="1"/>
  <c r="W298" i="21"/>
  <c r="W297" i="21" s="1"/>
  <c r="J324" i="21"/>
  <c r="J323" i="21" s="1"/>
  <c r="J322" i="21" s="1"/>
  <c r="U35" i="21"/>
  <c r="U34" i="21" s="1"/>
  <c r="U33" i="21" s="1"/>
  <c r="U86" i="21"/>
  <c r="G86" i="21"/>
  <c r="G82" i="21" s="1"/>
  <c r="G35" i="21"/>
  <c r="G34" i="21" s="1"/>
  <c r="G33" i="21" s="1"/>
  <c r="G32" i="21" s="1"/>
  <c r="Q35" i="21"/>
  <c r="Q34" i="21" s="1"/>
  <c r="Q33" i="21" s="1"/>
  <c r="Q86" i="21"/>
  <c r="Q82" i="21" s="1"/>
  <c r="D140" i="21"/>
  <c r="D139" i="21" s="1"/>
  <c r="E139" i="21"/>
  <c r="F49" i="21"/>
  <c r="F48" i="21" s="1"/>
  <c r="D52" i="21"/>
  <c r="L57" i="21"/>
  <c r="L56" i="21" s="1"/>
  <c r="L55" i="21" s="1"/>
  <c r="H59" i="21"/>
  <c r="H55" i="21" s="1"/>
  <c r="O62" i="21"/>
  <c r="X59" i="21"/>
  <c r="X55" i="21" s="1"/>
  <c r="R86" i="21"/>
  <c r="R82" i="21" s="1"/>
  <c r="M82" i="21"/>
  <c r="V89" i="21"/>
  <c r="V88" i="21" s="1"/>
  <c r="V87" i="21" s="1"/>
  <c r="V86" i="21" s="1"/>
  <c r="V82" i="21" s="1"/>
  <c r="D96" i="21"/>
  <c r="D95" i="21" s="1"/>
  <c r="D94" i="21" s="1"/>
  <c r="J100" i="21"/>
  <c r="O100" i="21"/>
  <c r="O99" i="21" s="1"/>
  <c r="T99" i="21"/>
  <c r="T98" i="21" s="1"/>
  <c r="T97" i="21" s="1"/>
  <c r="E101" i="21"/>
  <c r="E99" i="21" s="1"/>
  <c r="S99" i="21"/>
  <c r="S98" i="21" s="1"/>
  <c r="S97" i="21" s="1"/>
  <c r="E106" i="21"/>
  <c r="N104" i="21"/>
  <c r="N98" i="21" s="1"/>
  <c r="N97" i="21" s="1"/>
  <c r="R104" i="21"/>
  <c r="J108" i="21"/>
  <c r="J107" i="21" s="1"/>
  <c r="T121" i="21"/>
  <c r="T120" i="21" s="1"/>
  <c r="E124" i="21"/>
  <c r="P121" i="21"/>
  <c r="P120" i="21" s="1"/>
  <c r="O125" i="21"/>
  <c r="J126" i="21"/>
  <c r="Q138" i="21"/>
  <c r="U138" i="21"/>
  <c r="V151" i="21"/>
  <c r="V150" i="21" s="1"/>
  <c r="V149" i="21" s="1"/>
  <c r="W150" i="21"/>
  <c r="W149" i="21" s="1"/>
  <c r="W145" i="21" s="1"/>
  <c r="W144" i="21" s="1"/>
  <c r="D206" i="21"/>
  <c r="T208" i="21"/>
  <c r="S208" i="21"/>
  <c r="H235" i="21"/>
  <c r="S265" i="21"/>
  <c r="V15" i="21"/>
  <c r="J19" i="21"/>
  <c r="L23" i="21"/>
  <c r="G36" i="21"/>
  <c r="U82" i="21"/>
  <c r="O218" i="21"/>
  <c r="O212" i="21" s="1"/>
  <c r="O208" i="21" s="1"/>
  <c r="D220" i="21"/>
  <c r="O221" i="21"/>
  <c r="D224" i="21"/>
  <c r="E19" i="21"/>
  <c r="X21" i="21"/>
  <c r="V21" i="21" s="1"/>
  <c r="V20" i="21" s="1"/>
  <c r="L35" i="21"/>
  <c r="L34" i="21" s="1"/>
  <c r="L33" i="21" s="1"/>
  <c r="E40" i="21"/>
  <c r="D40" i="21" s="1"/>
  <c r="X36" i="21"/>
  <c r="O42" i="21"/>
  <c r="O12" i="21"/>
  <c r="O11" i="21" s="1"/>
  <c r="J16" i="21"/>
  <c r="J14" i="21" s="1"/>
  <c r="N23" i="21"/>
  <c r="J29" i="21"/>
  <c r="Q37" i="21"/>
  <c r="O37" i="21" s="1"/>
  <c r="E38" i="21"/>
  <c r="J41" i="21"/>
  <c r="H42" i="21"/>
  <c r="E42" i="21" s="1"/>
  <c r="M42" i="21"/>
  <c r="J42" i="21" s="1"/>
  <c r="L36" i="21"/>
  <c r="F47" i="21"/>
  <c r="F46" i="21" s="1"/>
  <c r="F45" i="21" s="1"/>
  <c r="K47" i="21"/>
  <c r="K46" i="21" s="1"/>
  <c r="K45" i="21" s="1"/>
  <c r="T47" i="21"/>
  <c r="T46" i="21" s="1"/>
  <c r="T45" i="21" s="1"/>
  <c r="X49" i="21"/>
  <c r="X48" i="21" s="1"/>
  <c r="E58" i="21"/>
  <c r="J58" i="21"/>
  <c r="J57" i="21" s="1"/>
  <c r="J56" i="21" s="1"/>
  <c r="D63" i="21"/>
  <c r="D62" i="21" s="1"/>
  <c r="D67" i="21"/>
  <c r="D71" i="21"/>
  <c r="H98" i="21"/>
  <c r="H97" i="21" s="1"/>
  <c r="R99" i="21"/>
  <c r="R98" i="21" s="1"/>
  <c r="R97" i="21" s="1"/>
  <c r="L98" i="21"/>
  <c r="L97" i="21" s="1"/>
  <c r="Q98" i="21"/>
  <c r="D116" i="21"/>
  <c r="V123" i="21"/>
  <c r="P134" i="21"/>
  <c r="O287" i="21"/>
  <c r="E12" i="21"/>
  <c r="X20" i="21"/>
  <c r="T36" i="21"/>
  <c r="E16" i="21"/>
  <c r="E18" i="21"/>
  <c r="T20" i="21"/>
  <c r="E24" i="21"/>
  <c r="X23" i="21"/>
  <c r="L12" i="21"/>
  <c r="X17" i="21"/>
  <c r="R19" i="21"/>
  <c r="R17" i="21" s="1"/>
  <c r="V19" i="21"/>
  <c r="W20" i="21"/>
  <c r="J21" i="21"/>
  <c r="U22" i="21"/>
  <c r="O25" i="21"/>
  <c r="U23" i="21"/>
  <c r="J26" i="21"/>
  <c r="P23" i="21"/>
  <c r="E27" i="21"/>
  <c r="J27" i="21"/>
  <c r="S29" i="21"/>
  <c r="S23" i="21" s="1"/>
  <c r="H30" i="21"/>
  <c r="E30" i="21" s="1"/>
  <c r="V30" i="21"/>
  <c r="M31" i="21"/>
  <c r="J31" i="21" s="1"/>
  <c r="Q31" i="21"/>
  <c r="O31" i="21" s="1"/>
  <c r="U31" i="21"/>
  <c r="N36" i="21"/>
  <c r="N32" i="21" s="1"/>
  <c r="R36" i="21"/>
  <c r="V37" i="21"/>
  <c r="K38" i="21"/>
  <c r="J38" i="21" s="1"/>
  <c r="E43" i="21"/>
  <c r="V43" i="21"/>
  <c r="E62" i="21"/>
  <c r="M59" i="21"/>
  <c r="M55" i="21" s="1"/>
  <c r="W86" i="21"/>
  <c r="W82" i="21" s="1"/>
  <c r="J89" i="21"/>
  <c r="J88" i="21" s="1"/>
  <c r="J87" i="21" s="1"/>
  <c r="J86" i="21" s="1"/>
  <c r="J82" i="21" s="1"/>
  <c r="T82" i="21"/>
  <c r="K90" i="21"/>
  <c r="O93" i="21"/>
  <c r="O92" i="21" s="1"/>
  <c r="O91" i="21" s="1"/>
  <c r="O90" i="21" s="1"/>
  <c r="F113" i="21"/>
  <c r="N113" i="21"/>
  <c r="R113" i="21"/>
  <c r="G113" i="21"/>
  <c r="L113" i="21"/>
  <c r="L112" i="21" s="1"/>
  <c r="P113" i="21"/>
  <c r="P112" i="21" s="1"/>
  <c r="T113" i="21"/>
  <c r="X113" i="21"/>
  <c r="G121" i="21"/>
  <c r="G120" i="21" s="1"/>
  <c r="E123" i="21"/>
  <c r="O171" i="21"/>
  <c r="O170" i="21" s="1"/>
  <c r="O169" i="21" s="1"/>
  <c r="D173" i="21"/>
  <c r="V212" i="21"/>
  <c r="V208" i="21" s="1"/>
  <c r="L134" i="21"/>
  <c r="Q134" i="21"/>
  <c r="I138" i="21"/>
  <c r="I134" i="21" s="1"/>
  <c r="M138" i="21"/>
  <c r="D160" i="21"/>
  <c r="P157" i="21"/>
  <c r="P156" i="21" s="1"/>
  <c r="T157" i="21"/>
  <c r="T156" i="21" s="1"/>
  <c r="X157" i="21"/>
  <c r="X156" i="21" s="1"/>
  <c r="D168" i="21"/>
  <c r="V171" i="21"/>
  <c r="V170" i="21" s="1"/>
  <c r="V169" i="21" s="1"/>
  <c r="I212" i="21"/>
  <c r="I208" i="21" s="1"/>
  <c r="X212" i="21"/>
  <c r="X208" i="21" s="1"/>
  <c r="D219" i="21"/>
  <c r="D223" i="21"/>
  <c r="N243" i="21"/>
  <c r="P287" i="21"/>
  <c r="H121" i="21"/>
  <c r="H120" i="21" s="1"/>
  <c r="H112" i="21" s="1"/>
  <c r="R134" i="21"/>
  <c r="N138" i="21"/>
  <c r="N134" i="21" s="1"/>
  <c r="G138" i="21"/>
  <c r="G134" i="21" s="1"/>
  <c r="K138" i="21"/>
  <c r="O138" i="21"/>
  <c r="S138" i="21"/>
  <c r="S134" i="21" s="1"/>
  <c r="W138" i="21"/>
  <c r="N157" i="21"/>
  <c r="N156" i="21" s="1"/>
  <c r="J176" i="21"/>
  <c r="J175" i="21" s="1"/>
  <c r="J174" i="21" s="1"/>
  <c r="D188" i="21"/>
  <c r="F212" i="21"/>
  <c r="N212" i="21"/>
  <c r="N208" i="21" s="1"/>
  <c r="R212" i="21"/>
  <c r="R208" i="21" s="1"/>
  <c r="E218" i="21"/>
  <c r="M235" i="21"/>
  <c r="X235" i="21"/>
  <c r="D253" i="21"/>
  <c r="I265" i="21"/>
  <c r="M265" i="21"/>
  <c r="W266" i="21"/>
  <c r="W265" i="21" s="1"/>
  <c r="D276" i="21"/>
  <c r="D280" i="21"/>
  <c r="S287" i="21"/>
  <c r="V287" i="21"/>
  <c r="D325" i="21"/>
  <c r="D324" i="21" s="1"/>
  <c r="D323" i="21" s="1"/>
  <c r="D322" i="21" s="1"/>
  <c r="E324" i="21"/>
  <c r="E323" i="21" s="1"/>
  <c r="E322" i="21" s="1"/>
  <c r="E125" i="21"/>
  <c r="J125" i="21"/>
  <c r="X121" i="21"/>
  <c r="X120" i="21" s="1"/>
  <c r="V126" i="21"/>
  <c r="U134" i="21"/>
  <c r="H134" i="21"/>
  <c r="S157" i="21"/>
  <c r="S156" i="21" s="1"/>
  <c r="W157" i="21"/>
  <c r="W156" i="21" s="1"/>
  <c r="M208" i="21"/>
  <c r="Q208" i="21"/>
  <c r="U212" i="21"/>
  <c r="U208" i="21" s="1"/>
  <c r="G212" i="21"/>
  <c r="G208" i="21" s="1"/>
  <c r="K212" i="21"/>
  <c r="W212" i="21"/>
  <c r="W208" i="21" s="1"/>
  <c r="P235" i="21"/>
  <c r="I235" i="21"/>
  <c r="J245" i="21"/>
  <c r="J244" i="21" s="1"/>
  <c r="J243" i="21" s="1"/>
  <c r="D246" i="21"/>
  <c r="D245" i="21" s="1"/>
  <c r="D244" i="21" s="1"/>
  <c r="O243" i="21"/>
  <c r="R251" i="21"/>
  <c r="R250" i="21" s="1"/>
  <c r="W250" i="21"/>
  <c r="F266" i="21"/>
  <c r="F265" i="21" s="1"/>
  <c r="F298" i="21"/>
  <c r="F297" i="21" s="1"/>
  <c r="N298" i="21"/>
  <c r="N297" i="21" s="1"/>
  <c r="F310" i="21"/>
  <c r="F309" i="21" s="1"/>
  <c r="T310" i="21"/>
  <c r="T309" i="21" s="1"/>
  <c r="D321" i="21"/>
  <c r="T235" i="21"/>
  <c r="D249" i="21"/>
  <c r="D248" i="21" s="1"/>
  <c r="D247" i="21" s="1"/>
  <c r="F251" i="21"/>
  <c r="F250" i="21" s="1"/>
  <c r="N251" i="21"/>
  <c r="N250" i="21" s="1"/>
  <c r="H265" i="21"/>
  <c r="D271" i="21"/>
  <c r="D272" i="21"/>
  <c r="D275" i="21"/>
  <c r="G291" i="21"/>
  <c r="G287" i="21" s="1"/>
  <c r="T291" i="21"/>
  <c r="T287" i="21" s="1"/>
  <c r="Q291" i="21"/>
  <c r="Q287" i="21" s="1"/>
  <c r="S298" i="21"/>
  <c r="S297" i="21" s="1"/>
  <c r="V301" i="21"/>
  <c r="V300" i="21" s="1"/>
  <c r="V299" i="21" s="1"/>
  <c r="V298" i="21" s="1"/>
  <c r="V297" i="21" s="1"/>
  <c r="L235" i="21"/>
  <c r="U235" i="21"/>
  <c r="F243" i="21"/>
  <c r="G243" i="21"/>
  <c r="P251" i="21"/>
  <c r="P250" i="21" s="1"/>
  <c r="T251" i="21"/>
  <c r="T250" i="21" s="1"/>
  <c r="O251" i="21"/>
  <c r="O250" i="21" s="1"/>
  <c r="V267" i="21"/>
  <c r="V266" i="21" s="1"/>
  <c r="D279" i="21"/>
  <c r="F287" i="21"/>
  <c r="N287" i="21"/>
  <c r="R287" i="21"/>
  <c r="I291" i="21"/>
  <c r="I287" i="21" s="1"/>
  <c r="M291" i="21"/>
  <c r="M287" i="21" s="1"/>
  <c r="P298" i="21"/>
  <c r="P297" i="21" s="1"/>
  <c r="T298" i="21"/>
  <c r="T297" i="21" s="1"/>
  <c r="O324" i="21"/>
  <c r="O323" i="21" s="1"/>
  <c r="O322" i="21" s="1"/>
  <c r="D336" i="21"/>
  <c r="N10" i="21"/>
  <c r="R10" i="21"/>
  <c r="D51" i="21"/>
  <c r="D13" i="21"/>
  <c r="V11" i="21"/>
  <c r="O14" i="21"/>
  <c r="R32" i="21"/>
  <c r="O59" i="21"/>
  <c r="E11" i="21"/>
  <c r="E57" i="21"/>
  <c r="E56" i="21" s="1"/>
  <c r="X86" i="21"/>
  <c r="X82" i="21" s="1"/>
  <c r="X35" i="21"/>
  <c r="X34" i="21" s="1"/>
  <c r="X33" i="21" s="1"/>
  <c r="H86" i="21"/>
  <c r="H82" i="21" s="1"/>
  <c r="H35" i="21"/>
  <c r="H34" i="21" s="1"/>
  <c r="H33" i="21" s="1"/>
  <c r="F14" i="21"/>
  <c r="G17" i="21"/>
  <c r="K17" i="21"/>
  <c r="W17" i="21"/>
  <c r="J18" i="21"/>
  <c r="V18" i="21"/>
  <c r="P20" i="21"/>
  <c r="O21" i="21"/>
  <c r="M23" i="21"/>
  <c r="M35" i="21"/>
  <c r="M34" i="21" s="1"/>
  <c r="M33" i="21" s="1"/>
  <c r="T35" i="21"/>
  <c r="T34" i="21" s="1"/>
  <c r="T33" i="21" s="1"/>
  <c r="U36" i="21"/>
  <c r="E41" i="21"/>
  <c r="J43" i="21"/>
  <c r="O43" i="21"/>
  <c r="V44" i="21"/>
  <c r="O47" i="21"/>
  <c r="O46" i="21" s="1"/>
  <c r="O45" i="21" s="1"/>
  <c r="P46" i="21"/>
  <c r="P45" i="21" s="1"/>
  <c r="K59" i="21"/>
  <c r="K55" i="21" s="1"/>
  <c r="S59" i="21"/>
  <c r="S55" i="21" s="1"/>
  <c r="V59" i="21"/>
  <c r="D70" i="21"/>
  <c r="E68" i="21"/>
  <c r="D80" i="21"/>
  <c r="V35" i="21"/>
  <c r="V34" i="21" s="1"/>
  <c r="V33" i="21" s="1"/>
  <c r="W34" i="21"/>
  <c r="W33" i="21" s="1"/>
  <c r="W32" i="21" s="1"/>
  <c r="F11" i="21"/>
  <c r="K14" i="21"/>
  <c r="W14" i="21"/>
  <c r="H17" i="21"/>
  <c r="P17" i="21"/>
  <c r="F23" i="21"/>
  <c r="O26" i="21"/>
  <c r="P36" i="21"/>
  <c r="I36" i="21"/>
  <c r="E44" i="21"/>
  <c r="J44" i="21"/>
  <c r="L46" i="21"/>
  <c r="L45" i="21" s="1"/>
  <c r="Q49" i="21"/>
  <c r="Q48" i="21" s="1"/>
  <c r="O50" i="21"/>
  <c r="O49" i="21" s="1"/>
  <c r="O48" i="21" s="1"/>
  <c r="F55" i="21"/>
  <c r="V55" i="21"/>
  <c r="G59" i="21"/>
  <c r="G55" i="21" s="1"/>
  <c r="R59" i="21"/>
  <c r="R55" i="21" s="1"/>
  <c r="D66" i="21"/>
  <c r="E65" i="21"/>
  <c r="J68" i="21"/>
  <c r="D69" i="21"/>
  <c r="E37" i="21"/>
  <c r="J60" i="21"/>
  <c r="D61" i="21"/>
  <c r="D60" i="21" s="1"/>
  <c r="D81" i="21"/>
  <c r="J79" i="21"/>
  <c r="J78" i="21" s="1"/>
  <c r="J77" i="21" s="1"/>
  <c r="S35" i="21"/>
  <c r="S34" i="21" s="1"/>
  <c r="S33" i="21" s="1"/>
  <c r="S86" i="21"/>
  <c r="S82" i="21" s="1"/>
  <c r="O89" i="21"/>
  <c r="O88" i="21" s="1"/>
  <c r="O87" i="21" s="1"/>
  <c r="O86" i="21" s="1"/>
  <c r="O82" i="21" s="1"/>
  <c r="P88" i="21"/>
  <c r="P87" i="21" s="1"/>
  <c r="E47" i="21"/>
  <c r="X46" i="21"/>
  <c r="X45" i="21" s="1"/>
  <c r="V47" i="21"/>
  <c r="V46" i="21" s="1"/>
  <c r="V45" i="21" s="1"/>
  <c r="J50" i="21"/>
  <c r="J49" i="21" s="1"/>
  <c r="J48" i="21" s="1"/>
  <c r="Q57" i="21"/>
  <c r="Q56" i="21" s="1"/>
  <c r="Q55" i="21" s="1"/>
  <c r="O58" i="21"/>
  <c r="O57" i="21" s="1"/>
  <c r="O56" i="21" s="1"/>
  <c r="W59" i="21"/>
  <c r="L82" i="21"/>
  <c r="D85" i="21"/>
  <c r="D84" i="21" s="1"/>
  <c r="D83" i="21" s="1"/>
  <c r="P92" i="21"/>
  <c r="P91" i="21" s="1"/>
  <c r="P90" i="21" s="1"/>
  <c r="E93" i="21"/>
  <c r="F92" i="21"/>
  <c r="F91" i="21" s="1"/>
  <c r="F90" i="21" s="1"/>
  <c r="J93" i="21"/>
  <c r="J92" i="21" s="1"/>
  <c r="J91" i="21" s="1"/>
  <c r="J90" i="21" s="1"/>
  <c r="U98" i="21"/>
  <c r="U97" i="21" s="1"/>
  <c r="Q97" i="21"/>
  <c r="J101" i="21"/>
  <c r="K99" i="21"/>
  <c r="O105" i="21"/>
  <c r="O104" i="21" s="1"/>
  <c r="P104" i="21"/>
  <c r="V122" i="21"/>
  <c r="W121" i="21"/>
  <c r="W120" i="21" s="1"/>
  <c r="W112" i="21" s="1"/>
  <c r="K88" i="21"/>
  <c r="K87" i="21" s="1"/>
  <c r="E89" i="21"/>
  <c r="F88" i="21"/>
  <c r="F87" i="21" s="1"/>
  <c r="M102" i="21"/>
  <c r="J103" i="21"/>
  <c r="J102" i="21" s="1"/>
  <c r="J122" i="21"/>
  <c r="K121" i="21"/>
  <c r="K120" i="21" s="1"/>
  <c r="H147" i="21"/>
  <c r="H146" i="21" s="1"/>
  <c r="H145" i="21" s="1"/>
  <c r="H144" i="21" s="1"/>
  <c r="E148" i="21"/>
  <c r="X90" i="21"/>
  <c r="P99" i="21"/>
  <c r="E102" i="21"/>
  <c r="V101" i="21"/>
  <c r="W99" i="21"/>
  <c r="D111" i="21"/>
  <c r="E108" i="21"/>
  <c r="E107" i="21" s="1"/>
  <c r="D172" i="21"/>
  <c r="E171" i="21"/>
  <c r="E170" i="21" s="1"/>
  <c r="E169" i="21" s="1"/>
  <c r="V100" i="21"/>
  <c r="D115" i="21"/>
  <c r="D114" i="21" s="1"/>
  <c r="E114" i="21"/>
  <c r="D118" i="21"/>
  <c r="D119" i="21"/>
  <c r="E117" i="21"/>
  <c r="O123" i="21"/>
  <c r="Q121" i="21"/>
  <c r="Q120" i="21" s="1"/>
  <c r="Q112" i="21" s="1"/>
  <c r="U121" i="21"/>
  <c r="U120" i="21" s="1"/>
  <c r="V124" i="21"/>
  <c r="E126" i="21"/>
  <c r="J128" i="21"/>
  <c r="O128" i="21"/>
  <c r="V129" i="21"/>
  <c r="M134" i="21"/>
  <c r="V137" i="21"/>
  <c r="V136" i="21" s="1"/>
  <c r="V135" i="21" s="1"/>
  <c r="W136" i="21"/>
  <c r="W135" i="21" s="1"/>
  <c r="I145" i="21"/>
  <c r="I144" i="21" s="1"/>
  <c r="X147" i="21"/>
  <c r="X146" i="21" s="1"/>
  <c r="V148" i="21"/>
  <c r="V147" i="21" s="1"/>
  <c r="V146" i="21" s="1"/>
  <c r="F150" i="21"/>
  <c r="F149" i="21" s="1"/>
  <c r="F145" i="21" s="1"/>
  <c r="F144" i="21" s="1"/>
  <c r="O157" i="21"/>
  <c r="O156" i="21" s="1"/>
  <c r="D162" i="21"/>
  <c r="D163" i="21"/>
  <c r="D178" i="21"/>
  <c r="D176" i="21" s="1"/>
  <c r="D175" i="21" s="1"/>
  <c r="D174" i="21" s="1"/>
  <c r="D183" i="21"/>
  <c r="X99" i="21"/>
  <c r="X98" i="21" s="1"/>
  <c r="X97" i="21" s="1"/>
  <c r="O103" i="21"/>
  <c r="O102" i="21" s="1"/>
  <c r="V105" i="21"/>
  <c r="W104" i="21"/>
  <c r="N112" i="21"/>
  <c r="I121" i="21"/>
  <c r="I120" i="21" s="1"/>
  <c r="I112" i="21" s="1"/>
  <c r="M121" i="21"/>
  <c r="M120" i="21" s="1"/>
  <c r="M112" i="21" s="1"/>
  <c r="O127" i="21"/>
  <c r="D127" i="21" s="1"/>
  <c r="E129" i="21"/>
  <c r="J129" i="21"/>
  <c r="E137" i="21"/>
  <c r="J137" i="21"/>
  <c r="J136" i="21" s="1"/>
  <c r="J135" i="21" s="1"/>
  <c r="J134" i="21" s="1"/>
  <c r="K136" i="21"/>
  <c r="K135" i="21" s="1"/>
  <c r="K134" i="21" s="1"/>
  <c r="D143" i="21"/>
  <c r="D142" i="21" s="1"/>
  <c r="E142" i="21"/>
  <c r="O148" i="21"/>
  <c r="O147" i="21" s="1"/>
  <c r="O146" i="21" s="1"/>
  <c r="P147" i="21"/>
  <c r="P146" i="21" s="1"/>
  <c r="P145" i="21" s="1"/>
  <c r="P144" i="21" s="1"/>
  <c r="D155" i="21"/>
  <c r="D154" i="21" s="1"/>
  <c r="D153" i="21" s="1"/>
  <c r="D152" i="21" s="1"/>
  <c r="D167" i="21"/>
  <c r="D166" i="21" s="1"/>
  <c r="D165" i="21" s="1"/>
  <c r="D164" i="21" s="1"/>
  <c r="D187" i="21"/>
  <c r="E105" i="21"/>
  <c r="J105" i="21"/>
  <c r="K104" i="21"/>
  <c r="K112" i="21"/>
  <c r="E122" i="21"/>
  <c r="F121" i="21"/>
  <c r="F120" i="21" s="1"/>
  <c r="F112" i="21" s="1"/>
  <c r="R121" i="21"/>
  <c r="R120" i="21" s="1"/>
  <c r="R112" i="21" s="1"/>
  <c r="J124" i="21"/>
  <c r="O124" i="21"/>
  <c r="V125" i="21"/>
  <c r="V128" i="21"/>
  <c r="L147" i="21"/>
  <c r="L146" i="21" s="1"/>
  <c r="L145" i="21" s="1"/>
  <c r="L144" i="21" s="1"/>
  <c r="J148" i="21"/>
  <c r="J147" i="21" s="1"/>
  <c r="J146" i="21" s="1"/>
  <c r="D159" i="21"/>
  <c r="D158" i="21" s="1"/>
  <c r="D193" i="21"/>
  <c r="E191" i="21"/>
  <c r="E190" i="21" s="1"/>
  <c r="E189" i="21" s="1"/>
  <c r="D192" i="21"/>
  <c r="D197" i="21"/>
  <c r="D196" i="21" s="1"/>
  <c r="D195" i="21" s="1"/>
  <c r="D194" i="21" s="1"/>
  <c r="E196" i="21"/>
  <c r="E195" i="21" s="1"/>
  <c r="E194" i="21" s="1"/>
  <c r="G235" i="21"/>
  <c r="S235" i="21"/>
  <c r="F104" i="21"/>
  <c r="F98" i="21" s="1"/>
  <c r="F97" i="21" s="1"/>
  <c r="O151" i="21"/>
  <c r="O150" i="21" s="1"/>
  <c r="O149" i="21" s="1"/>
  <c r="E161" i="21"/>
  <c r="E181" i="21"/>
  <c r="E180" i="21" s="1"/>
  <c r="E179" i="21" s="1"/>
  <c r="D182" i="21"/>
  <c r="D201" i="21"/>
  <c r="D200" i="21" s="1"/>
  <c r="D199" i="21" s="1"/>
  <c r="D198" i="21" s="1"/>
  <c r="E200" i="21"/>
  <c r="E199" i="21" s="1"/>
  <c r="E198" i="21" s="1"/>
  <c r="J250" i="21"/>
  <c r="E154" i="21"/>
  <c r="E153" i="21" s="1"/>
  <c r="E152" i="21" s="1"/>
  <c r="E158" i="21"/>
  <c r="E166" i="21"/>
  <c r="E165" i="21" s="1"/>
  <c r="E164" i="21" s="1"/>
  <c r="E186" i="21"/>
  <c r="E185" i="21" s="1"/>
  <c r="E184" i="21" s="1"/>
  <c r="D205" i="21"/>
  <c r="D204" i="21" s="1"/>
  <c r="D203" i="21" s="1"/>
  <c r="D202" i="21" s="1"/>
  <c r="E204" i="21"/>
  <c r="E203" i="21" s="1"/>
  <c r="E202" i="21" s="1"/>
  <c r="K208" i="21"/>
  <c r="D214" i="21"/>
  <c r="D213" i="21" s="1"/>
  <c r="E213" i="21"/>
  <c r="D217" i="21"/>
  <c r="J215" i="21"/>
  <c r="J212" i="21" s="1"/>
  <c r="J208" i="21" s="1"/>
  <c r="V242" i="21"/>
  <c r="V241" i="21" s="1"/>
  <c r="V240" i="21" s="1"/>
  <c r="V239" i="21" s="1"/>
  <c r="V235" i="21" s="1"/>
  <c r="P243" i="21"/>
  <c r="T243" i="21"/>
  <c r="I251" i="21"/>
  <c r="I250" i="21" s="1"/>
  <c r="D256" i="21"/>
  <c r="D255" i="21" s="1"/>
  <c r="E255" i="21"/>
  <c r="E251" i="21" s="1"/>
  <c r="D263" i="21"/>
  <c r="D264" i="21"/>
  <c r="J292" i="21"/>
  <c r="J291" i="21" s="1"/>
  <c r="J287" i="21" s="1"/>
  <c r="D293" i="21"/>
  <c r="X300" i="21"/>
  <c r="X299" i="21" s="1"/>
  <c r="X298" i="21" s="1"/>
  <c r="X297" i="21" s="1"/>
  <c r="D358" i="21"/>
  <c r="D357" i="21" s="1"/>
  <c r="D356" i="21" s="1"/>
  <c r="D355" i="21" s="1"/>
  <c r="J228" i="21"/>
  <c r="J227" i="21" s="1"/>
  <c r="J226" i="21" s="1"/>
  <c r="D229" i="21"/>
  <c r="D228" i="21" s="1"/>
  <c r="D227" i="21" s="1"/>
  <c r="D226" i="21" s="1"/>
  <c r="O235" i="21"/>
  <c r="W235" i="21"/>
  <c r="E241" i="21"/>
  <c r="E240" i="21" s="1"/>
  <c r="E239" i="21" s="1"/>
  <c r="D268" i="21"/>
  <c r="D267" i="21" s="1"/>
  <c r="E267" i="21"/>
  <c r="F208" i="21"/>
  <c r="D216" i="21"/>
  <c r="D225" i="21"/>
  <c r="D234" i="21"/>
  <c r="E232" i="21"/>
  <c r="E231" i="21" s="1"/>
  <c r="E230" i="21" s="1"/>
  <c r="X251" i="21"/>
  <c r="X250" i="21" s="1"/>
  <c r="D258" i="21"/>
  <c r="E261" i="21"/>
  <c r="E260" i="21" s="1"/>
  <c r="K265" i="21"/>
  <c r="J265" i="21"/>
  <c r="N265" i="21"/>
  <c r="D316" i="21"/>
  <c r="E314" i="21"/>
  <c r="J353" i="21"/>
  <c r="J352" i="21" s="1"/>
  <c r="J351" i="21" s="1"/>
  <c r="D354" i="21"/>
  <c r="D353" i="21" s="1"/>
  <c r="D352" i="21" s="1"/>
  <c r="D351" i="21" s="1"/>
  <c r="D222" i="21"/>
  <c r="E221" i="21"/>
  <c r="J232" i="21"/>
  <c r="J231" i="21" s="1"/>
  <c r="J230" i="21" s="1"/>
  <c r="D233" i="21"/>
  <c r="D238" i="21"/>
  <c r="D237" i="21" s="1"/>
  <c r="D236" i="21" s="1"/>
  <c r="E237" i="21"/>
  <c r="E236" i="21" s="1"/>
  <c r="F235" i="21"/>
  <c r="J235" i="21"/>
  <c r="N235" i="21"/>
  <c r="R235" i="21"/>
  <c r="X243" i="21"/>
  <c r="H251" i="21"/>
  <c r="H250" i="21" s="1"/>
  <c r="Q250" i="21"/>
  <c r="U250" i="21"/>
  <c r="D259" i="21"/>
  <c r="D262" i="21"/>
  <c r="D277" i="21"/>
  <c r="D278" i="21"/>
  <c r="E274" i="21"/>
  <c r="E273" i="21" s="1"/>
  <c r="V274" i="21"/>
  <c r="V273" i="21" s="1"/>
  <c r="D290" i="21"/>
  <c r="D289" i="21" s="1"/>
  <c r="D288" i="21" s="1"/>
  <c r="E289" i="21"/>
  <c r="E288" i="21" s="1"/>
  <c r="E287" i="21" s="1"/>
  <c r="D294" i="21"/>
  <c r="E292" i="21"/>
  <c r="E291" i="21" s="1"/>
  <c r="D304" i="21"/>
  <c r="D303" i="21" s="1"/>
  <c r="D302" i="21" s="1"/>
  <c r="E303" i="21"/>
  <c r="E302" i="21" s="1"/>
  <c r="E298" i="21" s="1"/>
  <c r="E297" i="21" s="1"/>
  <c r="D308" i="21"/>
  <c r="D307" i="21" s="1"/>
  <c r="D306" i="21" s="1"/>
  <c r="D305" i="21" s="1"/>
  <c r="E307" i="21"/>
  <c r="E306" i="21" s="1"/>
  <c r="E305" i="21" s="1"/>
  <c r="O310" i="21"/>
  <c r="O309" i="21" s="1"/>
  <c r="S310" i="21"/>
  <c r="S309" i="21" s="1"/>
  <c r="E270" i="21"/>
  <c r="O274" i="21"/>
  <c r="O273" i="21" s="1"/>
  <c r="D281" i="21"/>
  <c r="D282" i="21"/>
  <c r="K287" i="21"/>
  <c r="J300" i="21"/>
  <c r="J299" i="21" s="1"/>
  <c r="J298" i="21" s="1"/>
  <c r="J297" i="21" s="1"/>
  <c r="D312" i="21"/>
  <c r="D311" i="21" s="1"/>
  <c r="E311" i="21"/>
  <c r="J314" i="21"/>
  <c r="J310" i="21" s="1"/>
  <c r="J309" i="21" s="1"/>
  <c r="D315" i="21"/>
  <c r="D314" i="21" s="1"/>
  <c r="D320" i="21"/>
  <c r="E319" i="21"/>
  <c r="E318" i="21" s="1"/>
  <c r="E317" i="21" s="1"/>
  <c r="J349" i="21"/>
  <c r="J348" i="21" s="1"/>
  <c r="J347" i="21" s="1"/>
  <c r="D350" i="21"/>
  <c r="D349" i="21" s="1"/>
  <c r="D348" i="21" s="1"/>
  <c r="D347" i="21" s="1"/>
  <c r="D286" i="21"/>
  <c r="D285" i="21" s="1"/>
  <c r="D284" i="21" s="1"/>
  <c r="D283" i="21" s="1"/>
  <c r="E285" i="21"/>
  <c r="E284" i="21" s="1"/>
  <c r="E283" i="21" s="1"/>
  <c r="H298" i="21"/>
  <c r="H297" i="21" s="1"/>
  <c r="V310" i="21"/>
  <c r="V309" i="21" s="1"/>
  <c r="O339" i="21"/>
  <c r="O338" i="21" s="1"/>
  <c r="O337" i="21" s="1"/>
  <c r="D341" i="21"/>
  <c r="D339" i="21" s="1"/>
  <c r="D338" i="21" s="1"/>
  <c r="D337" i="21" s="1"/>
  <c r="D345" i="21"/>
  <c r="D330" i="21"/>
  <c r="D331" i="21"/>
  <c r="E329" i="21"/>
  <c r="E328" i="21" s="1"/>
  <c r="E327" i="21" s="1"/>
  <c r="D335" i="21"/>
  <c r="D334" i="21" s="1"/>
  <c r="D333" i="21" s="1"/>
  <c r="D332" i="21" s="1"/>
  <c r="E334" i="21"/>
  <c r="E333" i="21" s="1"/>
  <c r="E332" i="21" s="1"/>
  <c r="D346" i="21"/>
  <c r="J344" i="21"/>
  <c r="J343" i="21" s="1"/>
  <c r="J342" i="21" s="1"/>
  <c r="E357" i="21"/>
  <c r="E356" i="21" s="1"/>
  <c r="E355" i="21" s="1"/>
  <c r="O134" i="21" l="1"/>
  <c r="R23" i="21"/>
  <c r="I10" i="21"/>
  <c r="V14" i="21"/>
  <c r="V10" i="21" s="1"/>
  <c r="E17" i="21"/>
  <c r="D25" i="21"/>
  <c r="D301" i="21"/>
  <c r="D300" i="21" s="1"/>
  <c r="D299" i="21" s="1"/>
  <c r="D298" i="21" s="1"/>
  <c r="D297" i="21" s="1"/>
  <c r="D186" i="21"/>
  <c r="D185" i="21" s="1"/>
  <c r="D184" i="21" s="1"/>
  <c r="M98" i="21"/>
  <c r="M97" i="21" s="1"/>
  <c r="D65" i="21"/>
  <c r="O265" i="21"/>
  <c r="V265" i="21"/>
  <c r="D257" i="21"/>
  <c r="E250" i="21"/>
  <c r="V104" i="21"/>
  <c r="W134" i="21"/>
  <c r="U112" i="21"/>
  <c r="P98" i="21"/>
  <c r="P97" i="21" s="1"/>
  <c r="H23" i="21"/>
  <c r="D68" i="21"/>
  <c r="Q23" i="21"/>
  <c r="V17" i="21"/>
  <c r="G10" i="21"/>
  <c r="D19" i="21"/>
  <c r="W23" i="21"/>
  <c r="D39" i="21"/>
  <c r="D28" i="21"/>
  <c r="G23" i="21"/>
  <c r="G20" i="21"/>
  <c r="D138" i="21"/>
  <c r="I32" i="21"/>
  <c r="M20" i="21"/>
  <c r="M10" i="21" s="1"/>
  <c r="D106" i="21"/>
  <c r="L207" i="21"/>
  <c r="E138" i="21"/>
  <c r="J36" i="21"/>
  <c r="Q36" i="21"/>
  <c r="J17" i="21"/>
  <c r="E15" i="21"/>
  <c r="T112" i="21"/>
  <c r="T54" i="21" s="1"/>
  <c r="Q20" i="21"/>
  <c r="Q10" i="21" s="1"/>
  <c r="D42" i="21"/>
  <c r="M207" i="21"/>
  <c r="D151" i="21"/>
  <c r="D150" i="21" s="1"/>
  <c r="D149" i="21" s="1"/>
  <c r="T10" i="21"/>
  <c r="D30" i="21"/>
  <c r="N55" i="21"/>
  <c r="O145" i="21"/>
  <c r="O144" i="21" s="1"/>
  <c r="O54" i="21" s="1"/>
  <c r="H207" i="21"/>
  <c r="W207" i="21"/>
  <c r="D125" i="21"/>
  <c r="J104" i="21"/>
  <c r="V145" i="21"/>
  <c r="V144" i="21" s="1"/>
  <c r="V134" i="21"/>
  <c r="W55" i="21"/>
  <c r="T32" i="21"/>
  <c r="O20" i="21"/>
  <c r="O10" i="21" s="1"/>
  <c r="U20" i="21"/>
  <c r="X10" i="21"/>
  <c r="V23" i="21"/>
  <c r="E310" i="21"/>
  <c r="E309" i="21" s="1"/>
  <c r="J145" i="21"/>
  <c r="J144" i="21" s="1"/>
  <c r="X145" i="21"/>
  <c r="X144" i="21" s="1"/>
  <c r="M36" i="21"/>
  <c r="M32" i="21" s="1"/>
  <c r="M9" i="21" s="1"/>
  <c r="W10" i="21"/>
  <c r="D16" i="21"/>
  <c r="D38" i="21"/>
  <c r="S10" i="21"/>
  <c r="J20" i="21"/>
  <c r="D22" i="21"/>
  <c r="Q207" i="21"/>
  <c r="D215" i="21"/>
  <c r="P207" i="21"/>
  <c r="O121" i="21"/>
  <c r="O120" i="21" s="1"/>
  <c r="O112" i="21" s="1"/>
  <c r="U54" i="21"/>
  <c r="V99" i="21"/>
  <c r="V98" i="21" s="1"/>
  <c r="V97" i="21" s="1"/>
  <c r="D108" i="21"/>
  <c r="D107" i="21" s="1"/>
  <c r="H36" i="21"/>
  <c r="D41" i="21"/>
  <c r="D27" i="21"/>
  <c r="D218" i="21"/>
  <c r="E31" i="21"/>
  <c r="E23" i="21" s="1"/>
  <c r="E21" i="21"/>
  <c r="E20" i="21" s="1"/>
  <c r="V207" i="21"/>
  <c r="O98" i="21"/>
  <c r="O97" i="21" s="1"/>
  <c r="S32" i="21"/>
  <c r="E59" i="21"/>
  <c r="E55" i="21" s="1"/>
  <c r="J47" i="21"/>
  <c r="J46" i="21" s="1"/>
  <c r="J45" i="21" s="1"/>
  <c r="O23" i="21"/>
  <c r="V36" i="21"/>
  <c r="U32" i="21"/>
  <c r="U9" i="21" s="1"/>
  <c r="D270" i="21"/>
  <c r="D266" i="21" s="1"/>
  <c r="U10" i="21"/>
  <c r="K36" i="21"/>
  <c r="U207" i="21"/>
  <c r="U53" i="21" s="1"/>
  <c r="D319" i="21"/>
  <c r="D318" i="21" s="1"/>
  <c r="D317" i="21" s="1"/>
  <c r="D181" i="21"/>
  <c r="D180" i="21" s="1"/>
  <c r="D179" i="21" s="1"/>
  <c r="D124" i="21"/>
  <c r="D126" i="21"/>
  <c r="D123" i="21"/>
  <c r="E113" i="21"/>
  <c r="D171" i="21"/>
  <c r="D170" i="21" s="1"/>
  <c r="D169" i="21" s="1"/>
  <c r="O55" i="21"/>
  <c r="L32" i="21"/>
  <c r="I9" i="21"/>
  <c r="O36" i="21"/>
  <c r="D252" i="21"/>
  <c r="D251" i="21" s="1"/>
  <c r="I207" i="21"/>
  <c r="J23" i="21"/>
  <c r="D31" i="21"/>
  <c r="I54" i="21"/>
  <c r="I53" i="21" s="1"/>
  <c r="M54" i="21"/>
  <c r="M53" i="21" s="1"/>
  <c r="S54" i="21"/>
  <c r="N9" i="21"/>
  <c r="D243" i="21"/>
  <c r="D274" i="21"/>
  <c r="D273" i="21" s="1"/>
  <c r="D221" i="21"/>
  <c r="D292" i="21"/>
  <c r="D291" i="21" s="1"/>
  <c r="T207" i="21"/>
  <c r="S207" i="21"/>
  <c r="D128" i="21"/>
  <c r="H10" i="21"/>
  <c r="X112" i="21"/>
  <c r="X54" i="21" s="1"/>
  <c r="G112" i="21"/>
  <c r="G54" i="21" s="1"/>
  <c r="G53" i="21" s="1"/>
  <c r="J12" i="21"/>
  <c r="L11" i="21"/>
  <c r="L10" i="21" s="1"/>
  <c r="L9" i="21" s="1"/>
  <c r="G207" i="21"/>
  <c r="L54" i="21"/>
  <c r="L53" i="21" s="1"/>
  <c r="N54" i="21"/>
  <c r="H54" i="21"/>
  <c r="X207" i="21"/>
  <c r="E266" i="21"/>
  <c r="E265" i="21" s="1"/>
  <c r="D59" i="21"/>
  <c r="K10" i="21"/>
  <c r="R9" i="21"/>
  <c r="P10" i="21"/>
  <c r="F10" i="21"/>
  <c r="Q32" i="21"/>
  <c r="Q9" i="21" s="1"/>
  <c r="G9" i="21"/>
  <c r="D26" i="21"/>
  <c r="W9" i="21"/>
  <c r="D43" i="21"/>
  <c r="J207" i="21"/>
  <c r="D329" i="21"/>
  <c r="D328" i="21" s="1"/>
  <c r="D327" i="21" s="1"/>
  <c r="D261" i="21"/>
  <c r="D260" i="21" s="1"/>
  <c r="D232" i="21"/>
  <c r="D231" i="21" s="1"/>
  <c r="D230" i="21" s="1"/>
  <c r="R207" i="21"/>
  <c r="E235" i="21"/>
  <c r="N207" i="21"/>
  <c r="K207" i="21"/>
  <c r="D161" i="21"/>
  <c r="D157" i="21" s="1"/>
  <c r="D156" i="21" s="1"/>
  <c r="W98" i="21"/>
  <c r="W97" i="21" s="1"/>
  <c r="D103" i="21"/>
  <c r="D102" i="21" s="1"/>
  <c r="J121" i="21"/>
  <c r="J120" i="21" s="1"/>
  <c r="J112" i="21" s="1"/>
  <c r="E88" i="21"/>
  <c r="E87" i="21" s="1"/>
  <c r="E86" i="21" s="1"/>
  <c r="E82" i="21" s="1"/>
  <c r="D89" i="21"/>
  <c r="D88" i="21" s="1"/>
  <c r="D87" i="21" s="1"/>
  <c r="D86" i="21" s="1"/>
  <c r="D82" i="21" s="1"/>
  <c r="V121" i="21"/>
  <c r="V120" i="21" s="1"/>
  <c r="V112" i="21" s="1"/>
  <c r="K98" i="21"/>
  <c r="K97" i="21" s="1"/>
  <c r="J59" i="21"/>
  <c r="J55" i="21" s="1"/>
  <c r="D44" i="21"/>
  <c r="V32" i="21"/>
  <c r="E14" i="21"/>
  <c r="D15" i="21"/>
  <c r="D14" i="21" s="1"/>
  <c r="D18" i="21"/>
  <c r="E212" i="21"/>
  <c r="E208" i="21" s="1"/>
  <c r="E207" i="21" s="1"/>
  <c r="D93" i="21"/>
  <c r="D92" i="21" s="1"/>
  <c r="D91" i="21" s="1"/>
  <c r="D90" i="21" s="1"/>
  <c r="E92" i="21"/>
  <c r="E91" i="21" s="1"/>
  <c r="E90" i="21" s="1"/>
  <c r="D344" i="21"/>
  <c r="D343" i="21" s="1"/>
  <c r="D342" i="21" s="1"/>
  <c r="D310" i="21"/>
  <c r="D309" i="21" s="1"/>
  <c r="F207" i="21"/>
  <c r="D242" i="21"/>
  <c r="D241" i="21" s="1"/>
  <c r="D240" i="21" s="1"/>
  <c r="D239" i="21" s="1"/>
  <c r="D235" i="21" s="1"/>
  <c r="E157" i="21"/>
  <c r="E156" i="21" s="1"/>
  <c r="D191" i="21"/>
  <c r="D190" i="21" s="1"/>
  <c r="D189" i="21" s="1"/>
  <c r="D137" i="21"/>
  <c r="D136" i="21" s="1"/>
  <c r="D135" i="21" s="1"/>
  <c r="D134" i="21" s="1"/>
  <c r="E136" i="21"/>
  <c r="E135" i="21" s="1"/>
  <c r="E134" i="21" s="1"/>
  <c r="D100" i="21"/>
  <c r="E147" i="21"/>
  <c r="E146" i="21" s="1"/>
  <c r="E145" i="21" s="1"/>
  <c r="E144" i="21" s="1"/>
  <c r="D148" i="21"/>
  <c r="D147" i="21" s="1"/>
  <c r="D146" i="21" s="1"/>
  <c r="K35" i="21"/>
  <c r="K86" i="21"/>
  <c r="K82" i="21" s="1"/>
  <c r="D101" i="21"/>
  <c r="J99" i="21"/>
  <c r="Q54" i="21"/>
  <c r="P86" i="21"/>
  <c r="P82" i="21" s="1"/>
  <c r="P54" i="21" s="1"/>
  <c r="P35" i="21"/>
  <c r="R54" i="21"/>
  <c r="H32" i="21"/>
  <c r="S9" i="21"/>
  <c r="E46" i="21"/>
  <c r="E45" i="21" s="1"/>
  <c r="D79" i="21"/>
  <c r="D78" i="21" s="1"/>
  <c r="D77" i="21" s="1"/>
  <c r="D287" i="21"/>
  <c r="O207" i="21"/>
  <c r="D122" i="21"/>
  <c r="E121" i="21"/>
  <c r="E120" i="21" s="1"/>
  <c r="D105" i="21"/>
  <c r="D104" i="21" s="1"/>
  <c r="E104" i="21"/>
  <c r="E98" i="21" s="1"/>
  <c r="E97" i="21" s="1"/>
  <c r="D129" i="21"/>
  <c r="D117" i="21"/>
  <c r="D113" i="21" s="1"/>
  <c r="F35" i="21"/>
  <c r="F86" i="21"/>
  <c r="F82" i="21" s="1"/>
  <c r="F54" i="21" s="1"/>
  <c r="F53" i="21" s="1"/>
  <c r="D50" i="21"/>
  <c r="D49" i="21" s="1"/>
  <c r="D48" i="21" s="1"/>
  <c r="D37" i="21"/>
  <c r="E36" i="21"/>
  <c r="X32" i="21"/>
  <c r="X9" i="21" s="1"/>
  <c r="D58" i="21"/>
  <c r="D57" i="21" s="1"/>
  <c r="D56" i="21" s="1"/>
  <c r="D17" i="21" l="1"/>
  <c r="S53" i="21"/>
  <c r="K54" i="21"/>
  <c r="K53" i="21" s="1"/>
  <c r="W54" i="21"/>
  <c r="W53" i="21" s="1"/>
  <c r="W8" i="21" s="1"/>
  <c r="V9" i="21"/>
  <c r="D47" i="21"/>
  <c r="D46" i="21" s="1"/>
  <c r="D45" i="21" s="1"/>
  <c r="J98" i="21"/>
  <c r="J97" i="21" s="1"/>
  <c r="D145" i="21"/>
  <c r="D144" i="21" s="1"/>
  <c r="D23" i="21"/>
  <c r="D212" i="21"/>
  <c r="D208" i="21" s="1"/>
  <c r="H53" i="21"/>
  <c r="T9" i="21"/>
  <c r="H9" i="21"/>
  <c r="P53" i="21"/>
  <c r="V54" i="21"/>
  <c r="V53" i="21" s="1"/>
  <c r="N53" i="21"/>
  <c r="N8" i="21" s="1"/>
  <c r="G8" i="21"/>
  <c r="D265" i="21"/>
  <c r="I8" i="21"/>
  <c r="U8" i="21"/>
  <c r="E10" i="21"/>
  <c r="R53" i="21"/>
  <c r="R8" i="21" s="1"/>
  <c r="X53" i="21"/>
  <c r="X8" i="21" s="1"/>
  <c r="T53" i="21"/>
  <c r="T8" i="21" s="1"/>
  <c r="D21" i="21"/>
  <c r="D20" i="21" s="1"/>
  <c r="E112" i="21"/>
  <c r="M8" i="21"/>
  <c r="Q53" i="21"/>
  <c r="Q8" i="21" s="1"/>
  <c r="S8" i="21"/>
  <c r="D55" i="21"/>
  <c r="D250" i="21"/>
  <c r="J11" i="21"/>
  <c r="J10" i="21" s="1"/>
  <c r="D12" i="21"/>
  <c r="D11" i="21" s="1"/>
  <c r="L8" i="21"/>
  <c r="D10" i="21"/>
  <c r="E35" i="21"/>
  <c r="F34" i="21"/>
  <c r="F33" i="21" s="1"/>
  <c r="F32" i="21" s="1"/>
  <c r="F9" i="21" s="1"/>
  <c r="F8" i="21" s="1"/>
  <c r="E54" i="21"/>
  <c r="E53" i="21" s="1"/>
  <c r="J54" i="21"/>
  <c r="J53" i="21" s="1"/>
  <c r="J35" i="21"/>
  <c r="J34" i="21" s="1"/>
  <c r="J33" i="21" s="1"/>
  <c r="J32" i="21" s="1"/>
  <c r="K34" i="21"/>
  <c r="K33" i="21" s="1"/>
  <c r="K32" i="21" s="1"/>
  <c r="K9" i="21" s="1"/>
  <c r="K8" i="21" s="1"/>
  <c r="D36" i="21"/>
  <c r="V8" i="21"/>
  <c r="D121" i="21"/>
  <c r="D120" i="21" s="1"/>
  <c r="D112" i="21" s="1"/>
  <c r="O35" i="21"/>
  <c r="O34" i="21" s="1"/>
  <c r="O33" i="21" s="1"/>
  <c r="O32" i="21" s="1"/>
  <c r="O9" i="21" s="1"/>
  <c r="P34" i="21"/>
  <c r="P33" i="21" s="1"/>
  <c r="P32" i="21" s="1"/>
  <c r="P9" i="21" s="1"/>
  <c r="P8" i="21" s="1"/>
  <c r="D207" i="21"/>
  <c r="D99" i="21"/>
  <c r="D98" i="21" s="1"/>
  <c r="D97" i="21" s="1"/>
  <c r="O53" i="21"/>
  <c r="H8" i="21" l="1"/>
  <c r="J9" i="21"/>
  <c r="J8" i="21" s="1"/>
  <c r="D54" i="21"/>
  <c r="D53" i="21" s="1"/>
  <c r="O8" i="21"/>
  <c r="E34" i="21"/>
  <c r="E33" i="21" s="1"/>
  <c r="E32" i="21" s="1"/>
  <c r="E9" i="21" s="1"/>
  <c r="E8" i="21" s="1"/>
  <c r="D35" i="21"/>
  <c r="D34" i="21" s="1"/>
  <c r="D33" i="21" s="1"/>
  <c r="D32" i="21" s="1"/>
  <c r="D9" i="21" s="1"/>
  <c r="D8" i="21" l="1"/>
  <c r="L21" i="20"/>
  <c r="L20" i="20"/>
  <c r="L13" i="20"/>
  <c r="L10" i="20"/>
  <c r="L8" i="20"/>
  <c r="L22" i="20" l="1"/>
  <c r="L23" i="20"/>
  <c r="L17" i="20"/>
  <c r="L18" i="20"/>
  <c r="L16" i="20" l="1"/>
  <c r="L19" i="20"/>
  <c r="L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Huỳnh Thị Thanh Nam</author>
  </authors>
  <commentList>
    <comment ref="G320" authorId="0" shapeId="0" xr:uid="{00000000-0006-0000-0400-000001000000}">
      <text>
        <r>
          <rPr>
            <b/>
            <sz val="9"/>
            <color indexed="81"/>
            <rFont val="Tahoma"/>
            <family val="2"/>
          </rPr>
          <t>Huỳnh Thị Thanh Nam:</t>
        </r>
        <r>
          <rPr>
            <sz val="9"/>
            <color indexed="81"/>
            <rFont val="Tahoma"/>
            <family val="2"/>
          </rPr>
          <t xml:space="preserve">
Ban Tuyên giáo</t>
        </r>
      </text>
    </comment>
    <comment ref="S320" authorId="0" shapeId="0" xr:uid="{00000000-0006-0000-0400-000002000000}">
      <text>
        <r>
          <rPr>
            <b/>
            <sz val="9"/>
            <color indexed="81"/>
            <rFont val="Tahoma"/>
            <family val="2"/>
          </rPr>
          <t>Huỳnh Thị Thanh Nam:</t>
        </r>
        <r>
          <rPr>
            <sz val="9"/>
            <color indexed="81"/>
            <rFont val="Tahoma"/>
            <family val="2"/>
          </rPr>
          <t xml:space="preserve">
Báo Tây Ninh</t>
        </r>
      </text>
    </comment>
  </commentList>
</comments>
</file>

<file path=xl/sharedStrings.xml><?xml version="1.0" encoding="utf-8"?>
<sst xmlns="http://schemas.openxmlformats.org/spreadsheetml/2006/main" count="2234" uniqueCount="793">
  <si>
    <t>NỘI DUNG</t>
  </si>
  <si>
    <t>SỐ TIỀN</t>
  </si>
  <si>
    <t>STT</t>
  </si>
  <si>
    <t>I</t>
  </si>
  <si>
    <t xml:space="preserve">DỰ TOÁN CHI NGÂN SÁCH NHÀ NƯỚC </t>
  </si>
  <si>
    <t>II</t>
  </si>
  <si>
    <t>Chi quản lý hành chính (Loại 340, khoản 341)</t>
  </si>
  <si>
    <t>Kinh phí giao thực hiện chế độ tự chủ. Bao gồm:</t>
  </si>
  <si>
    <t>1.1</t>
  </si>
  <si>
    <t>1.2</t>
  </si>
  <si>
    <t xml:space="preserve">  + Chi hoạt động thường xuyên</t>
  </si>
  <si>
    <t>*</t>
  </si>
  <si>
    <t>2.1</t>
  </si>
  <si>
    <t>2.2</t>
  </si>
  <si>
    <t>a</t>
  </si>
  <si>
    <t>b</t>
  </si>
  <si>
    <t>2.3</t>
  </si>
  <si>
    <t>Chi từ nguồn phí, lệ phí được để lại</t>
  </si>
  <si>
    <t>Số phí, lệ phí nộp ngân sách nhà nước</t>
  </si>
  <si>
    <t xml:space="preserve">DỰ TOÁN THU, CHI, NỘP NGÂN SÁCH PHÍ, LỆ PHÍ </t>
  </si>
  <si>
    <t>1.3</t>
  </si>
  <si>
    <t xml:space="preserve"> - Phí thẩm định dự án đầu tư </t>
  </si>
  <si>
    <t xml:space="preserve"> - Phí kiểm soát giết mổ động vật, sát trùng</t>
  </si>
  <si>
    <t xml:space="preserve"> - Lệ phí cấp chứng chỉ hành nghề dịch vụ thú y; cấp giấy chứng nhận kiểm dịch động vật, sản phẩm động vật trên cạn</t>
  </si>
  <si>
    <t>c</t>
  </si>
  <si>
    <t xml:space="preserve">Tổng số thu phí, lệ phí </t>
  </si>
  <si>
    <t>2.4</t>
  </si>
  <si>
    <t xml:space="preserve">  + Kinh phí mua sắm trang thiết bị PCCCR</t>
  </si>
  <si>
    <t xml:space="preserve">Kinh phí giao thực hiện chế độ tự chủ. </t>
  </si>
  <si>
    <t>- Chi hoạt động thường xuyên cho bộ máy quản lý, trong đó :</t>
  </si>
  <si>
    <t xml:space="preserve">  + Chi quỹ lương theo mức lương cơ sở 1.490.000 đồng (46 biên chế)</t>
  </si>
  <si>
    <t>- Kinh phí đặc thù cố định</t>
  </si>
  <si>
    <t>Kinh phí không thực hiện chế độ tự chủ. Bao gồm:</t>
  </si>
  <si>
    <t xml:space="preserve"> - Kinh phí mua sắm, sửa chữa</t>
  </si>
  <si>
    <t>Chi sự nghiệp kinh tế - sự nghiệp nông nghiệp (Loại 280, khoản 281)</t>
  </si>
  <si>
    <t xml:space="preserve">  + Chi quỹ lương theo mức lương cơ sở 1.490.000 đồng (16 biên chế)</t>
  </si>
  <si>
    <t>- Kinh phí mua sắm, sửa chữa</t>
  </si>
  <si>
    <t xml:space="preserve">  + Chi quỹ lương theo mức lương cơ sở 1.490.000 đồng (66 biên chế)</t>
  </si>
  <si>
    <t xml:space="preserve">  + Chi quỹ lương theo mức lương cơ sở 1.490.000 đồng (20 biên chế)</t>
  </si>
  <si>
    <t xml:space="preserve">  + Chi quỹ lương theo mức lương cơ sở 1.490.000 đồng (15 biên chế)</t>
  </si>
  <si>
    <t xml:space="preserve">  + Chi quỹ lương theo mức lương cơ sở 1.490.000 đồng (38 biên chế)</t>
  </si>
  <si>
    <t>Kinh phí  không thực hiện chế độ tự chủ. Bao gồm:</t>
  </si>
  <si>
    <t>- Phụ cấp cộng tác viên (85 người)</t>
  </si>
  <si>
    <t>- Kinh phí hỗ trợ áp dụng quy trình thực hành sản xuất nông nghiệp tốt trong nông nghiệp và thủy sản (lĩnh vực trồng trọt) theo NQ số 18/2021-NQ-HĐND ngày 09/12/2020</t>
  </si>
  <si>
    <t>- Kinh phí hỗ trợ DNNVV</t>
  </si>
  <si>
    <t>- Kinh phí bảo vệ môi trường thuộc lĩnh vực Trồng trọt và BVTV</t>
  </si>
  <si>
    <t xml:space="preserve">- Chi hoạt động thường xuyên cho bộ máy quản lý, trong đó :  </t>
  </si>
  <si>
    <t xml:space="preserve"> + Kinh phí phục vụ công tác thu phí</t>
  </si>
  <si>
    <t xml:space="preserve">  + Chi quỹ lương theo mức lương cơ sở 1.490.000 đồng (48 biên chế)</t>
  </si>
  <si>
    <t>- Phụ cấp lương trưởng ban thú y xã</t>
  </si>
  <si>
    <t>- Kinh phí phòng, chống bệnh chó dại và bắt chó chạy rong</t>
  </si>
  <si>
    <t>- Kinh phí kiểm tra các cơ sở giết mổ gia súc, gia cầm, cơ sở sản xuất kinh doanh thuốc thú y, thức ăn chăn nuôi và các cơ sở chăn nuôi tập trung theo Thông tư số 38/2018/TT-BNNPTNT và Thông tư số 13/2016/TT-BNNPTNT</t>
  </si>
  <si>
    <t>- Kế hoạch phòng chống bệnh cúm gia cầm giai đoạn 2020 - 2025</t>
  </si>
  <si>
    <t>- Phòng bệnh lở mồm long móng</t>
  </si>
  <si>
    <t>- Phòng bệnh thủy sản</t>
  </si>
  <si>
    <t>- Kinh phí phòng, chống bệnh dịch tả lợn Châu Phi (Tai Xanh)</t>
  </si>
  <si>
    <t>- Kinh phí phòng, chống bệnh viêm da nổi cục trâu bò trên địa bàn tỉnh Tây Ninh</t>
  </si>
  <si>
    <t xml:space="preserve">   + Quản lý giống vật nuôi </t>
  </si>
  <si>
    <t xml:space="preserve">   + Chuỗi bò thịt </t>
  </si>
  <si>
    <t xml:space="preserve">   + Chuỗi heo thịt </t>
  </si>
  <si>
    <t>- Kinh phí thả cá hồ Dầu Tiếng (Phát triển nguồn lợi thủy sản)</t>
  </si>
  <si>
    <t>- Kinh phí thanh kiểm tra, bảo vệ nguồn lợi thủy sản</t>
  </si>
  <si>
    <t xml:space="preserve">  + Chi quỹ lương theo mức lương cơ sở 1.490.000 đồng  (47 biên chế)</t>
  </si>
  <si>
    <t xml:space="preserve">  + Kinh phí bảo vệ và phát triển rừng</t>
  </si>
  <si>
    <t xml:space="preserve">  + Kinh phí thanh toán các nội dung đảm bảo cho công tác về phòng cháy, chữa cháy rừng</t>
  </si>
  <si>
    <t xml:space="preserve">  + Chi quỹ lương theo mức lương cơ sở 1.490.000 đồng (10 biên chế)</t>
  </si>
  <si>
    <t>* Nguồn 12</t>
  </si>
  <si>
    <t>* Nguồn 13</t>
  </si>
  <si>
    <t>B</t>
  </si>
  <si>
    <t>* Nguồn 14 (0114)</t>
  </si>
  <si>
    <t>* Nguồn 14 (0214)</t>
  </si>
  <si>
    <t xml:space="preserve">- Chi bộ máy sự nghiệp, trong đó :   </t>
  </si>
  <si>
    <t xml:space="preserve">- Chi bộ máy sự nghiệp, trong đó : </t>
  </si>
  <si>
    <t>- Chi bộ máy sự nghiệp, trong đó :</t>
  </si>
  <si>
    <t>* Nguồn 13:</t>
  </si>
  <si>
    <t>- Kinh phí hỗ trợ tiền ăn, tiền xăng cho viên chức và HĐ 161</t>
  </si>
  <si>
    <t>- Kinh phí thực hiện nhiệm vụ bảo vệ và PCCR</t>
  </si>
  <si>
    <t xml:space="preserve">  - Kinh phí thực hiện công tác cập nhật Bộ chỉ số theo dõi đánh giá nước sạch và vệ sinh môi trường nông thôn </t>
  </si>
  <si>
    <t xml:space="preserve"> - Chi theo dõi diễn biến rừng và đất lâm nghiệp</t>
  </si>
  <si>
    <t xml:space="preserve"> - Chi hoạt động phối hợp giữa Kiểm lâm và Dân quân tự vệ</t>
  </si>
  <si>
    <t xml:space="preserve"> - Chi hoạt động kiểm tra liên ngành kinh doanh trái phép lâm sản và động vật hoang dã</t>
  </si>
  <si>
    <t xml:space="preserve"> - Chi hoạt động phòng cháy chữa cháy rừng </t>
  </si>
  <si>
    <t xml:space="preserve"> - Chi trang phục, phù hiệu, cấp hiệu quân phục kiểm lâm</t>
  </si>
  <si>
    <t xml:space="preserve"> - Kinh phí mua sắm trang thiết bị PCCC rừng</t>
  </si>
  <si>
    <t>CHI TIẾT DỰ TOÁN CHI NSNN GIAO THEO TỪNG ĐƠN VỊ</t>
  </si>
  <si>
    <t>Chi sự nghiệp kinh tế - sự nghiệp lâm nghiệp (Loại 280, khoản 282)</t>
  </si>
  <si>
    <t>CHI CÂN ĐỐI NSĐP (Mã DP:200)</t>
  </si>
  <si>
    <t>- Kinh phí hỗ trợ hợp đồng lao động theo NĐ 68/2000/NĐ-CP 
(02 HĐLĐ)</t>
  </si>
  <si>
    <t>- Nguồn tiết kiệm 10% chi thường xuyên (dùng làm CCTL và chính sách an sinh xã hội)</t>
  </si>
  <si>
    <t>A</t>
  </si>
  <si>
    <t>III</t>
  </si>
  <si>
    <t>B.1</t>
  </si>
  <si>
    <t>Chi sự nghiệp kinh tế (Loại 280)</t>
  </si>
  <si>
    <t>Sự nghiệp kinh tế khác (Khoản 321)</t>
  </si>
  <si>
    <t>B.2</t>
  </si>
  <si>
    <t>Chương trình MTQG Giảm nghèo (mã CTMTQG: 00470)</t>
  </si>
  <si>
    <t>a.1</t>
  </si>
  <si>
    <t>a.3</t>
  </si>
  <si>
    <t>a.2</t>
  </si>
  <si>
    <t>Sự nghiệp nông nghiệp (Khoản 281)</t>
  </si>
  <si>
    <t>- Dự án Ứng dụng công nghệ viễn thám và GIS để tích hợp dự báo mực nước tại hồ chứa, dự báo lũ, ngập lụt có nguy cơ xảy ra trên địa bàn tỉnh Tây Ninh (Khoản 278)</t>
  </si>
  <si>
    <t>IV</t>
  </si>
  <si>
    <t>V</t>
  </si>
  <si>
    <t>VI</t>
  </si>
  <si>
    <t>VII</t>
  </si>
  <si>
    <t>VIII</t>
  </si>
  <si>
    <t>Chương trình MTQG Xây dựng Nông thôn mới (Mã CTMTQG: 00490)</t>
  </si>
  <si>
    <t>CHI CHƯƠNG TRÌNH MỤC TIÊU QUỐC GIA</t>
  </si>
  <si>
    <t>CHI CHƯƠNG TRÌNH MỤC TIÊU, NHIỆM VỤ</t>
  </si>
  <si>
    <t>C</t>
  </si>
  <si>
    <t>Chương trình mục tiêu Phát triển lâm nghiệp bền vững (Mã CTMT: 00620)</t>
  </si>
  <si>
    <t>Phụ lục IV.2</t>
  </si>
  <si>
    <t>CHI TIẾT PHÂN BỔ VỐN SỰ NGHIỆP THỰC HIỆN CHƯƠNG TRÌNH MỤC TIÊU QUỐC GIA DỰ TOÁN NĂM 2023 CHO CÁC ĐƠN VỊ DỰ TOÁN TỈNH</t>
  </si>
  <si>
    <t>(Ban hành kèm theo Quyết định số: 2505/QĐ-UBND ngày 09 tháng 12 năm 2022 của Ủy ban nhân dân tỉnh)</t>
  </si>
  <si>
    <t>Đơn vị: Triệu đồng.</t>
  </si>
  <si>
    <t>Nội dung</t>
  </si>
  <si>
    <t>Mã CTMT, DA</t>
  </si>
  <si>
    <t>Tổng cộng</t>
  </si>
  <si>
    <t>Chi QLHC</t>
  </si>
  <si>
    <t>Gồm</t>
  </si>
  <si>
    <t>SN Kinh tế</t>
  </si>
  <si>
    <t>SN Môi trường</t>
  </si>
  <si>
    <t>SN Giáo dục, đào tạo và dạy nghề</t>
  </si>
  <si>
    <t>SN Y tế</t>
  </si>
  <si>
    <t>SN Văn hóa, thông tin</t>
  </si>
  <si>
    <t>SN Phát thanh truyền hình</t>
  </si>
  <si>
    <t>SN ĐBXH</t>
  </si>
  <si>
    <t>Chi An ninh - Quốc phòng</t>
  </si>
  <si>
    <t>Ghi chú</t>
  </si>
  <si>
    <t>QLNN</t>
  </si>
  <si>
    <t>Đảng</t>
  </si>
  <si>
    <t>MT TQ và đoàn thể</t>
  </si>
  <si>
    <t>Hội đặc thù</t>
  </si>
  <si>
    <t>SN Nông nghiệp</t>
  </si>
  <si>
    <t>SN Thủy lợi</t>
  </si>
  <si>
    <t>SN Kinh tế khác</t>
  </si>
  <si>
    <t>SN Giáo dục</t>
  </si>
  <si>
    <t>SN đào tạo và dạy nghề</t>
  </si>
  <si>
    <t>An ninh</t>
  </si>
  <si>
    <t>Quốc phòng</t>
  </si>
  <si>
    <t>1=2+3+4+5+6+7+8+9+10</t>
  </si>
  <si>
    <t>2=2a+2b+2c</t>
  </si>
  <si>
    <t>2a</t>
  </si>
  <si>
    <t>2b</t>
  </si>
  <si>
    <t>2c</t>
  </si>
  <si>
    <t>2d</t>
  </si>
  <si>
    <t>3=3a+3b+3c</t>
  </si>
  <si>
    <t>3a</t>
  </si>
  <si>
    <t>3b</t>
  </si>
  <si>
    <t>3c</t>
  </si>
  <si>
    <t>5=5a+5b</t>
  </si>
  <si>
    <t>5a</t>
  </si>
  <si>
    <t>5b</t>
  </si>
  <si>
    <t>10=10a+10b</t>
  </si>
  <si>
    <t>10a</t>
  </si>
  <si>
    <t>10b</t>
  </si>
  <si>
    <t>TỔNG CỘNG</t>
  </si>
  <si>
    <t>CHI TIẾT TỪNG DỰ ÁN</t>
  </si>
  <si>
    <t>CTMTQG GIẢM NGHÈO BỀN VỮNG</t>
  </si>
  <si>
    <t>00470</t>
  </si>
  <si>
    <t>Dự án 2: Hỗ trợ phát triển sản xuất, cải thiện dinh dưỡng</t>
  </si>
  <si>
    <t>00473</t>
  </si>
  <si>
    <t>Tiểu dự án 2: Cải thiện dinh dưỡng.</t>
  </si>
  <si>
    <t xml:space="preserve">Dự án 3: Phát triển giáo dục nghề nghiệp, việc làm bền vững </t>
  </si>
  <si>
    <t>00474</t>
  </si>
  <si>
    <t>Tiểu Dự án 1. Phát triển giáo dục nghề nghiệp vùng nghèo, vùng khó khăn</t>
  </si>
  <si>
    <t xml:space="preserve"> Tiểu dự án 2 “Hỗ trợ việc làm bền vững”</t>
  </si>
  <si>
    <t>Dự án 4: Truyền thông và giảm nghèo về thông tin</t>
  </si>
  <si>
    <t>00476</t>
  </si>
  <si>
    <t>Tiểu dự án 1: Giảm nghèo về thông tin</t>
  </si>
  <si>
    <t>Tiểu dự án 2: Truyền thông về giảm nghèo đa chiều</t>
  </si>
  <si>
    <t>Dự án 5: Nâng cao năng lực và giám sát đánh giá Chương trình</t>
  </si>
  <si>
    <t>00477</t>
  </si>
  <si>
    <t>Tiểu dự án 1: Nâng cao năng lực thực hiện Chương trình</t>
  </si>
  <si>
    <t>Tiểu dự án 2: Giám sát, đánh giá</t>
  </si>
  <si>
    <t>CTMTQG XÂY DỰNG NÔNG THÔN MỚI</t>
  </si>
  <si>
    <t>00490</t>
  </si>
  <si>
    <t>Duy tu, bảo dưỡng, vận hành các công trình sau đầu tư trên địa bàn xã.</t>
  </si>
  <si>
    <t>00492</t>
  </si>
  <si>
    <t>Nội dung thành phần số 03: Triển khai mạnh mẽ Chương trình mỗi xã một sản phẩm (OCOP); phát triển mạnh ngành nghề nông thôn; phát triển du lịch nông thôn; nâng cao hiệu quả hoạt động của các hợp tác xã; hỗ trợ các doanh nghiệp khởi nghiệp ở nông thôn; nâng cao chất lượng đào tạo nghề cho lao động nông thôn...</t>
  </si>
  <si>
    <t>00493</t>
  </si>
  <si>
    <t>Nội dung thành phần số 05: Nâng cao chất lượng giáo dục, y tế và chăm sóc sức khỏe người dân nông thôn.</t>
  </si>
  <si>
    <t>00495</t>
  </si>
  <si>
    <t>Nội dung thành phần số 06: Nâng cao chất lượng đời sống văn hóa của người dân nông thôn; bảo tồn và phát huy các giá trị văn hóa truyền thống theo hướng bền vững gắn với phát triển du lịch nông thôn.</t>
  </si>
  <si>
    <t>00496</t>
  </si>
  <si>
    <t>Nội dung thành phần số 07: Nâng cao chất lượng môi trường; xây dựng cảnh quan nông thôn sáng - xanh - sạch - đẹp, an toàn; giữ gìn và khôi phục cảnh quan truyền thống của nông thôn Việt Nam.</t>
  </si>
  <si>
    <t>00497</t>
  </si>
  <si>
    <t>Nội dung thành phần số 08: Đẩy mạnh và nâng cao chất lượng các dịch vụ hành chính công; nâng cao chất lượng hoạt động của chính quyền cơ sở; thúc đẩy quá trình chuyển đổi số trong NTM, tăng cường ứng dụng công nghệ thông tin, công nghệ số, xây dựng NTM thông minh; bảo đảm và tăng cường khả năng tiếp cận pháp luật cho người dân; tăng cường giải pháp nhằm đảm bảo bình đẳng giới và phòng chống bạo lực trên cơ sở giới.</t>
  </si>
  <si>
    <t>00498</t>
  </si>
  <si>
    <t>Nội dung thành phần số 09: Nâng cao chất lượng, phát huy vai trò của Mặt trận Tổ quốc Việt Nam và các tổ chức chính trị - xã hội trong xây dựng NTM.</t>
  </si>
  <si>
    <t>00499</t>
  </si>
  <si>
    <t>Nội dung thành phần số 11: Tăng cường công tác giám sát, đánh giá thực hiện Chương trình; nâng cao năng lực xây dựng NTM; truyền thông về xây dựng NTM; thực hiện Phong trào thi đua cả nước chung sức xây dựng NTM.</t>
  </si>
  <si>
    <t>00502</t>
  </si>
  <si>
    <t>CTMTQG PHÁT TRIỂN KINH TẾ - XÃ HỘI VÙNG ĐỒNG BÀO DÂN TỘC THIỂU SỐ</t>
  </si>
  <si>
    <t>00510</t>
  </si>
  <si>
    <t>Dự án 5: Phát triển giáo dục đào tạo nâng cao chất lượng nguồn nhân lực</t>
  </si>
  <si>
    <t>00515</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</si>
  <si>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DTTS</t>
  </si>
  <si>
    <t>Mua sắm trang thiết bị cho trường PT DTNT</t>
  </si>
  <si>
    <t>Dự án 6: Bảo tồn, phát huy giá trị văn hóa truyền thống tốt đẹp của các DTTS gắn với phát triển du lịch</t>
  </si>
  <si>
    <t>00516</t>
  </si>
  <si>
    <t>Bảo tồn 01 lễ hội truyền thống tại các địa phương khai thác xây dựng sản phẩm phục vụ  phát triển du lịch</t>
  </si>
  <si>
    <t>Tổ chức 01 lớp tập huấn, bồi dưỡng chuyên môn, nghiệp vụ, truyền dạy văn hóa phi vật thể</t>
  </si>
  <si>
    <t>Hỗ trợ nghiên cứu, phục hồi, bảo tồn 01 chương trình phát huy giá trị văn hóa phi vật thể các DTTS có nguy cơ mai một</t>
  </si>
  <si>
    <t>Xây dựng 01 mô hình văn hóa truyền thống các DTTS</t>
  </si>
  <si>
    <t>Xây dựng 01 câu lạc bộ sinh hoạt văn hóa dân gian tại cac thôn vùng đồng bào DTTS</t>
  </si>
  <si>
    <t>Hỗ trợ hoạt động cho 12 đội văn nghệ truyền thống</t>
  </si>
  <si>
    <t>Hỗ trợ 01 chương trình tuyên truyền, quảng bá rộng rãi văn hóa truyền thống tiêu biểu các DTTS, chương trình quảng bá, xúc tiến du lịch</t>
  </si>
  <si>
    <t>Hỗ trợ 06 bộ trang thiết bị hoạt động cho thiết chế văn hóa, thể thao tại các thôn vùng đồng bào DTTS</t>
  </si>
  <si>
    <t>Dự án 9: Đầu tư phát triển nhóm DTTS rất ít người và nhóm dân tộc còn nhiều khó khăn</t>
  </si>
  <si>
    <t>00519</t>
  </si>
  <si>
    <t>Tiểu dự án 2: Giảm thiểu tình tảo hôn và hôn nhân cận huyết thống trong vùng đồng bào DTTS&amp;MN</t>
  </si>
  <si>
    <t>Triển khai truyền thông tuyên truyền về tảo hôn và và hôn nhân cận huyết thống trong đồng bào dân tộc thiểu số tỉnh</t>
  </si>
  <si>
    <t>Dự án 10: Truyền thông, tuyên truyền, vận động trong vùng đồng bào DTTS&amp;MN. Kiểm tra, giám sát đánh giá việc tổ chức thực hiện chương trình</t>
  </si>
  <si>
    <t>00521</t>
  </si>
  <si>
    <t>Tiểu dự án 3: Kiểm tra, giám sát, đánh giá, đào tạo, tập huấn tổ chức thực hiện Chương trình</t>
  </si>
  <si>
    <t>Tổ chức thực hiện hoạt động kiểm tra, giám sát và đánh giá kết quả thực hiện Chương trình ở cấp Trung ương và các cấp địa phương.</t>
  </si>
  <si>
    <t>**</t>
  </si>
  <si>
    <t>CHI TIẾT TỪNG LĨNH VỰC, TỪNG ĐƠN VỊ</t>
  </si>
  <si>
    <t>NGÂN SÁCH TỈNH ĐỐI ỨNG</t>
  </si>
  <si>
    <t>SỞ NÔNG NGHIỆP VÀ PHÁT TRIỂN NÔNG THÔN</t>
  </si>
  <si>
    <t>CTMTQG Giảm nghèo bền vững</t>
  </si>
  <si>
    <t xml:space="preserve"> - Tiểu dự án 2: Giám sát, đánh giá</t>
  </si>
  <si>
    <t>CTMTQG Xây dựng nông thôn mới</t>
  </si>
  <si>
    <t>Duy tu, bảo dưỡng công trình cấp nước tại các xã NTM, NTM nâng cao năm 2023.</t>
  </si>
  <si>
    <t>Hỗ trợ cơ giới hóa, ứng dụng công nghệ cao trong sản xuất nông nghiệp hiện đại.</t>
  </si>
  <si>
    <t>Triển khai Chương trình mỗi xã một sản phẩm (OCOP).</t>
  </si>
  <si>
    <t>Giữ gìn và khôi phục cảnh quan truyền thống của nông thôn Việt Nam; phát triển các mô hình thôn, xóm sáng, xanh, sạch, đẹp, an toàn, khu dân cư kiểu mẫu.</t>
  </si>
  <si>
    <t>Công trình thắp sáng đường quê.</t>
  </si>
  <si>
    <t>Hỗ trợ thực hiện Chương trình tăng cường  bảo vệ môi trường an toàn thực phẩm và cấp nước sạch nông thôn trong xây dựng nông thôn mới.</t>
  </si>
  <si>
    <t>Cuộc thi về bảo vệ môi trường (hướng dẫn phân loại rác tại nguồn, mô hình giảm  rác thải nhựa…)</t>
  </si>
  <si>
    <t>Chi khen thưởng tập thể, cá nhân có thành tích xuất sắc trong Phong trào thi đua “Tây Ninh chung sức xây dựng nông thôn mới” năm 2022.</t>
  </si>
  <si>
    <t>Nâng cao chất lượng và hiệu quả công tác kiểm tra, giám sát, đánh giá kết quả thực hiện Chương trình; xây dựng hệ thống giám sát, đánh giá; nhân rộng mô hình giám sát an ninh hiện đại và giám sát của cộng đồng.</t>
  </si>
  <si>
    <t>Đào tạo nâng cao năng lực đội ngũ cán bộ làm công tác xây dựng nông thôn mới các cấp, nâng cao nhận thức và chuyển đổi tư duy của người dân và cộng đồng.</t>
  </si>
  <si>
    <t>Đẩy mạnh, đa dạng hình thức thông tin, truyền thông; triển khai phong trào “Cả nước thi đua xây dựng nông thôn mới”.</t>
  </si>
  <si>
    <t>SỞ TƯ PHÁP</t>
  </si>
  <si>
    <t>SỞ CÔNG THƯƠNG</t>
  </si>
  <si>
    <t>Nâng cao chất lượng và hiệu quả công tác kiểm tra, giám sát, đánh giá kết quả thực hiện Chương trình.</t>
  </si>
  <si>
    <t>SỞ GIÁO DỤC VÀ ĐÀO TẠO</t>
  </si>
  <si>
    <t>Tiếp tục nâng cao chất lượng, phát triển giáo dục ở nông thôn.</t>
  </si>
  <si>
    <t>CTMTQG Phát triển KT-XH vùng đồng bào DTTS</t>
  </si>
  <si>
    <t xml:space="preserve">Tiểu dự án 1: Đổi mới hoạt động, củng cố phát triển các trường phổ thông dân tộc nội trú, trường phổ thông dân tộc bán trú, trường phổ thông có học sinh ở bán trú và xóa mù chữ cho người dân vùng đồng bào DTTS </t>
  </si>
  <si>
    <t>--&gt; Mua sắm trang thiết bị cho trường PT DTNT</t>
  </si>
  <si>
    <t>SỞ Y TẾ</t>
  </si>
  <si>
    <t xml:space="preserve"> - Tiểu dự án 2: Cải thiện dinh dưỡng.</t>
  </si>
  <si>
    <t>SỞ LAO ĐỘNG - THƯƠNG BINH VÀ XÃ HỘI</t>
  </si>
  <si>
    <t xml:space="preserve"> - Tiểu Dự án 1. Phát triển giáo dục nghề nghiệp vùng nghèo, vùng khó khăn</t>
  </si>
  <si>
    <t xml:space="preserve"> - Tiểu dự án 2: “Hỗ trợ việc làm bền vững”</t>
  </si>
  <si>
    <t xml:space="preserve"> - Tiểu dự án 2: Truyền thông về giảm nghèo đa chiều</t>
  </si>
  <si>
    <t xml:space="preserve"> - Tiểu dự án 1: Nâng cao năng lực thực hiện Chương trình</t>
  </si>
  <si>
    <t>Tuyên truyền, tư vấn học nghề và việc làm; rà soát, cập nhật, bổ sung nhu cầu đào tạo nghề.</t>
  </si>
  <si>
    <t>Công tác kiểm tra giám sát, đánh giá công tác đào tạo nghề cho lao động nông thôn.</t>
  </si>
  <si>
    <t>Công tác quản lý, giám sát, đánh giá kết quả thực hiện chương trình cấp tỉnh; truyền thông về xây dựng nông thôn mới.</t>
  </si>
  <si>
    <t>SỞ VĂN HÓA, THỂ THAO VÀ DU LỊCH</t>
  </si>
  <si>
    <t>Nâng cao hiệu quả hoạt động của hệ thống thiết chế văn hóa, thể thao cơ sở.</t>
  </si>
  <si>
    <t>Tăng cường kiểm kê, sưu tầm, tư liệu hóa di sản văn hóa truyền thống; bảo tồn và phát huy di sản văn hóa.</t>
  </si>
  <si>
    <t>SỞ TÀI NGUYÊN VÀ MÔI TRƯỜNG</t>
  </si>
  <si>
    <t>SỞ THÔNG TIN VÀ TRUYỀN THÔNG</t>
  </si>
  <si>
    <t xml:space="preserve"> - Tiểu dự án 1: Giảm nghèo về thông tin</t>
  </si>
  <si>
    <t>Xây dựng Trang thông tin điện tử cấp xã.</t>
  </si>
  <si>
    <t>Tăng cường ứng dụng công nghệ thông tin trong thực hiện các dịch vụ hành chính công; thúc đẩy chuyển đổi số trong nông thôn mới, tăng cường ứng dụng công nghệ thông tin, công nghệ số, xây dựng nông thôn mới thông minh (13 xã NTM, NTM NC và NTM KM năm 2023; 01 xã: 30 triệu)</t>
  </si>
  <si>
    <t>Tổ chức các lớp phổ biến kiến thức, nâng cao kỹ năng số và năng lực tiếp cận thông tin (trực tiếp hoặc trực tuyến) cho cán bộ của các tổ chức chính trị - xã hội, cán bộ hợp tác xã, cán bộ không chuyên trách thôn, bản, giáo viên các trường phổ thông của địa phương làm lực lượng nòng cốt phổ biến lại kiến thức cho thành viên của tổ chức và người dân.</t>
  </si>
  <si>
    <t>08 lớp/năm (mỗi quý 02 lớp); số lượng 100 người/lớp; kinh phí 01 lớp: 15 triệu đồng.</t>
  </si>
  <si>
    <t>Nâng cao chất lượng và hiệu quả công tác kiểm tra, giám sát, đánh giá kết quả thực hiện Chương trình</t>
  </si>
  <si>
    <t>SỞ NỘI VỤ</t>
  </si>
  <si>
    <t xml:space="preserve"> - Tiểu dự án 2: Giảm thiểu tình tảo hôn và hôn nhân cận huyết thống trong vùng đồng bào DTTS&amp;MN</t>
  </si>
  <si>
    <t>XI</t>
  </si>
  <si>
    <t>ĐÀI PHÁT THANH TRUYỀN HÌNH</t>
  </si>
  <si>
    <t>XII</t>
  </si>
  <si>
    <t>LIÊN MINH HỢP TÁC XÃ TỈNH TÂY NINH</t>
  </si>
  <si>
    <t>Nâng cao hiệu quả hoạt động của các hình thức tổ chức sản xuất.</t>
  </si>
  <si>
    <t>Liên minh HTX phối hợp cùng đơn vị xây dựng mô hình HTX kiểu mới tham gia liên kết theo chuỗi giá trị gắn với tiêu thụ sản phẩm.</t>
  </si>
  <si>
    <t>XIII</t>
  </si>
  <si>
    <t>VĂN PHÒNG TỈNH ỦY TÂY NINH</t>
  </si>
  <si>
    <t>XIV</t>
  </si>
  <si>
    <t>ỦY BAN MẶT TRẬN TỔ QUỐC VIỆT NAM TỈNH TÂY NINH</t>
  </si>
  <si>
    <t>Tổ chức triển khai Cuộc vận động “Toàn dân đoàn kết xây dựng NTM, đô thị văn minh”; nâng cao hiệu quả thực hiện công tác giám sát và phản biện xã hội trong xây dựng NTM; tăng cường vận động, phát huy vai trò làm chủ của người dân trong xây dựng NTM; nâng cao hiệu quả việc lấy ý kiến sự hài lòng của người dân về kết quả xây dựng NTM.</t>
  </si>
  <si>
    <t>Tuyên truyền về tăng cường vận động, phát huy vai trò làm chủ của người dân trong xây dựng NTM.</t>
  </si>
  <si>
    <t>XV</t>
  </si>
  <si>
    <t>HỘI LIÊN HIỆP PHỤ NỮ TỈNH</t>
  </si>
  <si>
    <t>Hỗ trợ triển khai hiệu quả Đề án “Hỗ trợ phụ nữ khởi nghiệp giai đoạn 2017-2025”.</t>
  </si>
  <si>
    <t>Tổ chức cuộc thi Phụ nữ sáng tạo khởi nghiệp</t>
  </si>
  <si>
    <t xml:space="preserve"> Vun đắp, gìn giữ giá trị tốt đẹp và phát triển hệ giá trị gia đình Việt Nam; thực hiện Cuộc vận động “Xây dựng gia đình 5 không, 3 sạch”.</t>
  </si>
  <si>
    <t>Xây dựng 02 mô hình điểm: Mô hình "Gia đình 5 có, 3 sạch"; Mô hình "Dịch vụ gia đình" tại 01 xã đạt chuẩn NTM nâng cao trên địa bàn.</t>
  </si>
  <si>
    <t>XVI</t>
  </si>
  <si>
    <t>HỘI NÔNG DÂN TỈNH TÂY NINH</t>
  </si>
  <si>
    <t>Triển khai hiệu quả phong trào “Nông dân thi đua sản xuất kinh doanh giỏi, đoàn kết giúp nhau làm giàu và giảm nghèo bền vững”; xây dựng các Chi hội nông dân nghề nghiệp, Tổ hội nông dân nghề nghiệp theo nguyên tắc “5 tự” và “5 cùng”.</t>
  </si>
  <si>
    <t>XVII</t>
  </si>
  <si>
    <t>LIÊN HIỆP CÁC HỘI KHOA HỌC VÀ KỸ THUẬT TỈNH</t>
  </si>
  <si>
    <t>Thực hiện “Tập san Khoa học và Đời sống chuyên đề xây dựng nông thôn mới" năm 2023.</t>
  </si>
  <si>
    <t>XVIII</t>
  </si>
  <si>
    <t>HỘI VĂN HỌC NGHỆ THUẬT TỈNH</t>
  </si>
  <si>
    <t>Tổ chức Trại sáng tác và Hội thảo văn học nghệ thuật đề tài xây dựng nông thôn mới năm 2023.</t>
  </si>
  <si>
    <t>XIX</t>
  </si>
  <si>
    <t>CÔNG AN TỈNH TÂY NINH</t>
  </si>
  <si>
    <t>XX</t>
  </si>
  <si>
    <t>BỘ CHỈ HUY QUÂN SỰ TỈNH TÂY NINH</t>
  </si>
  <si>
    <t>XXI</t>
  </si>
  <si>
    <t>CỤC THỐNG KÊ TỈNH TÂY NINH</t>
  </si>
  <si>
    <t>NGÂN SÁCH TRUNG ƯƠNG</t>
  </si>
  <si>
    <t>IX</t>
  </si>
  <si>
    <t>X</t>
  </si>
  <si>
    <t>VĂN PHÒNG SỞ</t>
  </si>
  <si>
    <t>CHI CỤC THỦY LỢI</t>
  </si>
  <si>
    <t>CHI CỤC KIỂM LÂM</t>
  </si>
  <si>
    <t>CHI CỤC TRỒNG TRỌT VÀ BẢO VỆ THỰC VẬT</t>
  </si>
  <si>
    <t>CHI CỤC CHĂN NUÔI VÀ THÚ Y</t>
  </si>
  <si>
    <t>TRUNG TÂM KHUYẾN NÔNG</t>
  </si>
  <si>
    <t>TRUNG TÂM NƯỚC SẠCH VÀ VỆ SINH MÔI TRƯỜNG NÔNG THÔN</t>
  </si>
  <si>
    <t>BAN QUẢN LÝ KHU RỪNG PHÒNG HỘ DẦU TIẾNG</t>
  </si>
  <si>
    <t>Kinh phí thực hiện chương trình Phát triển lâm nghiệp bền vững (Mã CTMT: 00629)</t>
  </si>
  <si>
    <t>i</t>
  </si>
  <si>
    <t>n</t>
  </si>
  <si>
    <t>d</t>
  </si>
  <si>
    <t>e</t>
  </si>
  <si>
    <t>f</t>
  </si>
  <si>
    <t>g</t>
  </si>
  <si>
    <t>h</t>
  </si>
  <si>
    <t>k</t>
  </si>
  <si>
    <t>l</t>
  </si>
  <si>
    <t>m</t>
  </si>
  <si>
    <t>Kinh phí mua sắm, sửa chữa</t>
  </si>
  <si>
    <t xml:space="preserve"> - Kinh phí tổ chức cơ sở đảng </t>
  </si>
  <si>
    <t xml:space="preserve"> - Thực hiện các dự án, mô hình khuyến nông (cây trồng, vật nuôi, thủy sản) </t>
  </si>
  <si>
    <t xml:space="preserve"> - Thực hiện các nhiệm vụ khác liên quan đến Công tác khuyến nông</t>
  </si>
  <si>
    <t xml:space="preserve">  + Phụ cấp cộng tác viên khuyến nông (95 người)</t>
  </si>
  <si>
    <t xml:space="preserve">  + Chương trình kết hợp hội, đoàn</t>
  </si>
  <si>
    <t xml:space="preserve">  + Đào tạo, học tập, tập huấn</t>
  </si>
  <si>
    <t xml:space="preserve">  + Thông tin tuyên truyền</t>
  </si>
  <si>
    <t xml:space="preserve">Chi bộ máy sự nghiệp, trong đó:  </t>
  </si>
  <si>
    <t xml:space="preserve">Chi hoạt động thường xuyên cho bộ máy quản lý, trong đó : </t>
  </si>
  <si>
    <t xml:space="preserve">PHỤ LỤC </t>
  </si>
  <si>
    <t xml:space="preserve"> ĐVT: đồng</t>
  </si>
  <si>
    <t>MSNS</t>
  </si>
  <si>
    <t>Chương</t>
  </si>
  <si>
    <t>Khoản</t>
  </si>
  <si>
    <t>Nguồn</t>
  </si>
  <si>
    <t>Mã CT, mục tiêu</t>
  </si>
  <si>
    <t>MDPNS</t>
  </si>
  <si>
    <t>0114</t>
  </si>
  <si>
    <t>1030253</t>
  </si>
  <si>
    <t>0214</t>
  </si>
  <si>
    <t>CHI CHƯƠNG TRÌNH MTQG, CHƯƠNG TRÌNH MỤC TIÊU, NHIỆM VỤ (Nguồn NSTW - vốn trong nước) (Mã DP: 100)</t>
  </si>
  <si>
    <t>00620</t>
  </si>
  <si>
    <t>00629</t>
  </si>
  <si>
    <t xml:space="preserve"> - Phí quảng cáo thuốc BVTV; cấp GCN đủ điều kiện kinh doanh phân bón, thuốc BVTV, ATTP</t>
  </si>
  <si>
    <t xml:space="preserve"> - Kinh phí bổ sung để đảm bảo cơ cấu quỹ lương tối đa bằng 75% trên tổng chi thường xuyên</t>
  </si>
  <si>
    <t>* Nguồn 12 - Kinh phí không thực hiện chế độ tự chủ</t>
  </si>
  <si>
    <t>083</t>
  </si>
  <si>
    <t>-  Kinh phí hỗ trợ HĐLĐ theo Nghị định số 111/NĐ-CP của Chính phủ
(02 HĐLĐ)</t>
  </si>
  <si>
    <t xml:space="preserve"> + Kinh phí duy trì, áp dụng Hệ thống QLCL ISO</t>
  </si>
  <si>
    <t xml:space="preserve"> + Kinh phí hoạt động của tổ chức cơ sở Đảng</t>
  </si>
  <si>
    <t>- Kinh phí hỗ trợ hợp đồng lao động theo Nghị định số 111/NĐ-CP của Chính phủ (02 HĐLĐ)</t>
  </si>
  <si>
    <t xml:space="preserve"> + Kinh phí kiểm tra, giám sát điều kiện đảm bảo ATTP</t>
  </si>
  <si>
    <t xml:space="preserve"> + Kiểm tra việc chấp hành quy định pháp luật của các cơ sở kinh doanh vật tư nông nghiệp trên địa bàn tỉnh</t>
  </si>
  <si>
    <t>- Kinh phí Đoàn thẩm định đánh giá, nghiệm thu áp dụng quy trình thực hành sản xuất nông nghiệp tốt trong nông nghiệp và thủy sản</t>
  </si>
  <si>
    <t>- Kinh phí công tác thiết lập và quản lý mã số vùng trồng, cơ sở đóng gói nông sản trên địa bàn tỉnh.</t>
  </si>
  <si>
    <t xml:space="preserve"> + Kinh phí mua sắm Trang phục thanh tra</t>
  </si>
  <si>
    <t>- Kinh phí hỗ trợ đào tạo và nâng cao năng lực liên kết SXKD (DNNVV)</t>
  </si>
  <si>
    <t xml:space="preserve">- Kinh phí thực hiện chuỗi chăn nuôi bò, heo thịt và giống vật nuôi </t>
  </si>
  <si>
    <t xml:space="preserve">Kinh phí giao thực hiện chế độ tự chủ </t>
  </si>
  <si>
    <t xml:space="preserve">  - Kinh phí chính sách hỗ trợ về giá nước sạch sinh hoạt nông thôn </t>
  </si>
  <si>
    <t xml:space="preserve"> - Kinh phí hỗ trợ HĐLĐ theo Nghị định số 111/NĐ-CP của Chính phủ (5 người)</t>
  </si>
  <si>
    <t>- Kinh phí hỗ trợ hợp đồng lao động theo Nghị định số 111/NĐ-CP của Chính phủ (10 người)</t>
  </si>
  <si>
    <t>- Chi quỹ lương đảm bảo mức lương cơ sở từ 1.490.000 đồng lên 1.800.000 đồng (66 biên chế)</t>
  </si>
  <si>
    <t>- Chi quỹ lương đảm bảo mức lương cơ sở từ 1.490.000 đồng lên 1.800.000 đồng (16 biên chế)</t>
  </si>
  <si>
    <t>- Chi quỹ lương đảm bảo mức lương cơ sở từ 1.490.000 đồng lên 1.800.000 đồng (46 biên chế)</t>
  </si>
  <si>
    <t>- Chi quỹ lương đảm bảo mức lương cơ sở từ 1.490.000 đồng lên 1.800.000 đồng (20 biên chế)</t>
  </si>
  <si>
    <t>- Chi quỹ lương đảm bảo mức lương cơ sở từ 1.490.000 đồng lên 1.800.000 đồng (15 biên chế)</t>
  </si>
  <si>
    <t>- Chi quỹ lương đảm bảo mức lương cơ sở từ 1.490.000 đồng lên 1.800.000 đồng (38 biên chế)</t>
  </si>
  <si>
    <t>- Chi quỹ lương đảm bảo mức lương cơ sở từ 1.490.000 đồng lên 1.800.000 đồng (48 biên chế)</t>
  </si>
  <si>
    <t>- Chi quỹ lương đảm bảo mức lương cơ sở từ 1.490.000 đồng lên 1.800.000 đồng (47 biên chế)</t>
  </si>
  <si>
    <t>- Chi quỹ lương đảm bảo mức lương cơ sở từ 1.490.000 đồng lên 1.800.000 đồng (33 biên chế)</t>
  </si>
  <si>
    <t>- Chi quỹ lương đảm bảo mức lương cơ sở từ 1.490.000 đồng lên 1.800.000 đồng (10 biên chế)</t>
  </si>
  <si>
    <t>Kinh phí hỗ trợ hợp đồng lao động theo Nghị định số 111/NĐ-CP của Chính phủ (03 HĐLĐ)</t>
  </si>
  <si>
    <t>Kinh phí hỗ trợ hợp đồng lao động theo Nghị định số 111/NĐ-CP của Chính phủ (02 HĐLĐ)</t>
  </si>
  <si>
    <t>GIAO DỰ TOÁN THU, CHI NGÂN SÁCH NHÀ NƯỚC NĂM 2024</t>
  </si>
  <si>
    <t>Dự án 7. Nâng cao năng lực và giám sát, đánh giá Chương trình</t>
  </si>
  <si>
    <t>070</t>
  </si>
  <si>
    <t>Nội dung thành phần số 03: Tiếp tục thực hiện có hiệu quả cơ cấu lại ngành nông nghiệp, phát triển kinh tế nông thôn; triển khai mạnh mẽ Chương trình mỗi xã một sản phẩm (OCOP) nhằm nâng cao giá trị gia tăng, phù hợp với quá trình chuyển đổi số, thích ứng với biến đổi khí hậu; phát triển mạnh ngành nghề nông thôn; phát triển du lịch nông thôn; nâng cao hiệu quả hoạt động của các hợp tác xã; hỗ trợ các doanh nghiệp khởi nghiệp ở nông thôn; nâng cao chất lượng đào tạo nghề cho lao động nông thôn... góp phần nâng cao thu nhập người dân theo hướng bền vững</t>
  </si>
  <si>
    <t>Triển khai Chương trình mỗi xã một sản phẩm (OCOP)</t>
  </si>
  <si>
    <t>Thực hiện Chương trình tăng cường bảo vệ môi trường, an toàn thực phẩm và cấp nước sạch nông thôn trong trong xây dựng nông thôn mới.</t>
  </si>
  <si>
    <t>- Hỗ trợ thu hút lao động trẻ về làm việc tại hợp tác xã nông nghiệp trên địa bàn tỉnh</t>
  </si>
  <si>
    <t>- Đào tạo trình độ sơ cấp nghề "Giám đốc hợp tác xã nông nghiệp" theo giáo trình đào tạo của Bộ Nông nghiệp &amp; PTNT</t>
  </si>
  <si>
    <t>- Kinh phí đối ứng thực hiện CTMTQG Giảm nghèo bền vững</t>
  </si>
  <si>
    <t>- Kinh phí hỗ trợ áp dụng quy trình thực hành sản xuất nông nghiệp tốt trong nông nghiệp và thủy sản (lĩnh vực chăn nuôi, thủy sản ) theo Nghị quyết số 18/2021/NQ-HĐND ngày 09/12/2021</t>
  </si>
  <si>
    <t xml:space="preserve"> + Dự án 7. Nâng cao năng lực và giám sát, đánh giá Chương trình</t>
  </si>
  <si>
    <t xml:space="preserve">    Tiểu dự án 2. Giám sát đánh giá</t>
  </si>
  <si>
    <t>- Chi khen thưởng tập thể, cá nhân có thành tích xuất sắc trong Phong trào thi đua “Tây Ninh chung sức xây dựng nông thôn mới” năm 2022.</t>
  </si>
  <si>
    <t>- Nâng cao chất lượng và hiệu quả công tác kiểm tra, giám sát, đánh giá kết quả thực hiện Chương trình; xây dựng hệ thống giám sát, đánh giá; nhân rộng mô hình giám sát an ninh hiện đại và giám sát của cộng đồng.</t>
  </si>
  <si>
    <t>- Đẩy mạnh, đa dạng hình thức thông tin, truyền thông; triển khai phong trào “Cả nước thi đua xây dựng nông thôn mới”.</t>
  </si>
  <si>
    <t xml:space="preserve">  + Kinh phí giao thực hiện chế độ tự chủ</t>
  </si>
  <si>
    <t xml:space="preserve">  + Kinh phí không thực hiện chế độ tự chủ</t>
  </si>
  <si>
    <t>Sự nghiệp nông nghiệp (Khoản: 281)</t>
  </si>
  <si>
    <t>Chi bộ máy sự nghiệp</t>
  </si>
  <si>
    <t>- Kinh phí giao thực hiện chế độ tự chủ</t>
  </si>
  <si>
    <t>- Kinh phí không thực hiện chế độ tự chủ</t>
  </si>
  <si>
    <t>Chi nhiệm vụ hoạt động sự nghiệp nông nghiệp (Kinh phí  không thực hiện chế độ tự chủ)</t>
  </si>
  <si>
    <t>Sự nghiệp lâm nghiệp (Khoản: 282)</t>
  </si>
  <si>
    <t>Chi nhiệm vụ hoạt động sự nghiệp lâm nghiệp (Kinh phí không thực hiện chế độ tự chủ)</t>
  </si>
  <si>
    <t>Sự nghiệp thủy lợi (Khoản 283)</t>
  </si>
  <si>
    <t>Chi nhiệm vụ hoạt động sự nghiệp thủy lợi (Kinh phí không thực hiện chế độ tự chủ)</t>
  </si>
  <si>
    <t>Chi sự nghiệp Môi trường (Loại 250)</t>
  </si>
  <si>
    <t>CHI CTMTQG, CTMT, NHIỆM VỤ 
(Nguồn NSTW - vốn trong nước, mã dự phòng: 100)</t>
  </si>
  <si>
    <t>Chương trình MTQG Xây dựng Nông thôn mới (mã CTMTQG: 00490)</t>
  </si>
  <si>
    <t>Chương trình mục tiêu Phát triển lâm nghiệp bền vững (mã CTMTQG: 00620)</t>
  </si>
  <si>
    <t>- Kinh phí thực hiện các nhiệm vụ môi trường (kinh phí không tự chủ)</t>
  </si>
  <si>
    <t xml:space="preserve"> - Kinh phí chi theo nhiệm vụ (kinh phí không tự chủ)</t>
  </si>
  <si>
    <t>-  Kinh phí xúc tiến thương mại (kinh phí không tự chủ)</t>
  </si>
  <si>
    <t>C.1</t>
  </si>
  <si>
    <t>C.2</t>
  </si>
  <si>
    <t>C.2.1</t>
  </si>
  <si>
    <t>C.2.2</t>
  </si>
  <si>
    <t>- Số biên chế được giao: 180 người (159 công chức, 21 HĐLĐ)</t>
  </si>
  <si>
    <t xml:space="preserve"> - Số biên chế được giao: 201 người (196 viên chức, 5 HĐLĐ)</t>
  </si>
  <si>
    <t xml:space="preserve"> - Số biên chế được giao: 135 người (133 viên chức, 2 HĐLĐ)</t>
  </si>
  <si>
    <t>- Số biên chế được giao: 56 người (53 viên chức, 3 HĐLĐ)</t>
  </si>
  <si>
    <t>- Số biên chế được giao: 10 người (viên chức)</t>
  </si>
  <si>
    <t>(Kèm theo Công văn số             /SNN-KHTC ngày       tháng     năm 2024 của Giám đốc Sở Nông nghiệp và Phát triển nông thôn)</t>
  </si>
  <si>
    <t xml:space="preserve"> - Kinh phí thực hiện nhiệm vụ được giao:</t>
  </si>
  <si>
    <t>+ Kinh phí chi bồi dưỡng đối với người làm nhiệm vụ tiếp công dân, giải quyết đơn khiếu nại, tố cáo</t>
  </si>
  <si>
    <t xml:space="preserve">+ Kinh phí hoạt động tổ chức cơ sở Đảng </t>
  </si>
  <si>
    <t>+ Kinh phí rà soát thủ tục hành chính</t>
  </si>
  <si>
    <t>+ Kinh phí mua sắm trang phục thanh tra</t>
  </si>
  <si>
    <t>+ Kinh phí duy trì, áp dụng Hệ thống QLCL ISO</t>
  </si>
  <si>
    <t>+ Kinh phí Xây dựng VBQPPL</t>
  </si>
  <si>
    <t xml:space="preserve">+ Kinh phí thanh tra, kiểm tra chuyên ngành </t>
  </si>
  <si>
    <t>+ Kinh phí đối nội, đối ngoại</t>
  </si>
  <si>
    <t>+ Kinh phí hoạt động của nhóm công tác thực hiện những giải pháp mang tính đột phá về phát triển kinh tế - xã hội lĩnh vực nông nghiệp</t>
  </si>
  <si>
    <t>+ Kinh phí hoạt động BCĐ Xây dựng nông thôn mới</t>
  </si>
  <si>
    <t>+ Kinh phí kiểm tra dự án thuộc Quy hoạch bố trí dân cư</t>
  </si>
  <si>
    <t>+ Kinh phí Hoạt động Hội đồng thẩm định dự án về hỗ trợ lãi vay (theo Quyết định số 21/2019/QĐ-UBND)</t>
  </si>
  <si>
    <t>+ Kinh phí hoạt động Hội đồng thẩm định hồ sơ cấp tỉnh về hỗ trợ liên kết sản xuất và tiêu thụ sản phẩm nông nghiệp trên địa bàn tỉnh (theo Quyết định số 23/2019/QĐ-UBND)</t>
  </si>
  <si>
    <t>+ Nhiệm vụ giám sát chữ đường, nhà máy mì</t>
  </si>
  <si>
    <t>+ Kinh phí Tổ thẩm định vùng nông nghiệp ứng dụng công nghệ cao trên địa bàn tỉnh</t>
  </si>
  <si>
    <t>+ Kinh phí trang bị xe ô tô</t>
  </si>
  <si>
    <t>Kinh phí hỗ trợ lãi vay phát triển thực hành sản xuất nông nghiệp tốt</t>
  </si>
  <si>
    <t xml:space="preserve">Kinh phí xúc tiến thương mại </t>
  </si>
  <si>
    <t>+ Kiểm tra việc chấp hành quy định của pháp luật đối với các công trình cấp nước trên địa bàn tỉnh</t>
  </si>
  <si>
    <t>+ Kinh phí thuê tư vấn xác định chỉ số giá xây dựng công trình thủy lợi</t>
  </si>
  <si>
    <t>+ Kinh phí hoạt động của tổ chức cơ sở Đảng</t>
  </si>
  <si>
    <t xml:space="preserve">+ Kinh phí Hoạt động BCĐ Chương trình mục tiêu phát triển lâm nghiệp bền vững </t>
  </si>
  <si>
    <t>+ Kinh phí hoạt động của lực lượng xử phạt vi phạm hành chính LVQLBVR</t>
  </si>
  <si>
    <t>+ Chi phí quản lý, xử lý tang vật do vi phạm hành chính</t>
  </si>
  <si>
    <t>+ Kinh phí kiểm tra chuyên ngành (lĩnh vực lâm nghiệp)</t>
  </si>
  <si>
    <t>- Kinh phí điều tra chi phí sản xuất và giá thành thóc</t>
  </si>
  <si>
    <t>- Kinh phí thực hiện nhiệm vụ được giao:</t>
  </si>
  <si>
    <t xml:space="preserve"> + Kinh phí trang bị xe ô tô</t>
  </si>
  <si>
    <t xml:space="preserve"> + Kinh phí thanh, kiểm tra chuyên ngành</t>
  </si>
  <si>
    <t xml:space="preserve">  + Chi quỹ lương theo mức lương cơ sở 1.490.000 đồng (33 biên chế)</t>
  </si>
  <si>
    <t>CHI CÂN ĐỐI NGÂN SÁCH ĐỊA PHƯƠNG (Mã DP: 200)</t>
  </si>
  <si>
    <t xml:space="preserve">- Kinh phí đề tài khoa học và công nghệ cấp cơ sở “Ứng dụng chế phẩm vi sinh vật hữu hiệu EM (Effective Microorganisms) thứ cấp trong chăn nuôi gà thịt trên địa bàn tỉnh Tây Ninh” </t>
  </si>
  <si>
    <t xml:space="preserve">Chi sự nghiệp Giáo dục, đào tạo và dạy nghề - Sự nghiệp Đào tạo và dạy nghề </t>
  </si>
  <si>
    <t>Chi sự nghiệp Khoa học và công nghệ (Kinh phí không giao quyền tự chủ)</t>
  </si>
  <si>
    <t>VĂN PHÒNG SỞ NÔNG NGHIỆP &amp; PTNT</t>
  </si>
  <si>
    <t>Chi sự nghiệp giáo dục, đào tạo và dạy nghề - Sự nghiệp đào tạo và dạy nghề (Loại 070)</t>
  </si>
  <si>
    <t>Chi sự nghiệp khoa học và công nghệ (Loại 100, khoản 101)</t>
  </si>
  <si>
    <t>Chi sự nghiệp kinh tế (Loại 280) - Kinh phí không thực hiện chế độ tự chủ (Nguồn 12)</t>
  </si>
  <si>
    <t>Sự nghiệp thủy lợi: Kinh phí không thực hiện chế độ tự chủ (Loại 280, khoản 283, nguồn 12). Bao gồm:</t>
  </si>
  <si>
    <t>- Kinh phí kiểm định, bảo quản, bảo dưỡng, sửa chữa trang thiết bị phòng, chống thiên tai và tìm kiếm cứu nạn</t>
  </si>
  <si>
    <t>- Kinh phí hoạt động của Ban chỉ huy và Văn phòng thường trực Ban Chỉ huy PTDS - PCTT và TKCN tỉnh</t>
  </si>
  <si>
    <t>Kinh phí không thực hiện chế độ tự chủ (Nguồn 12). Bao gồm:</t>
  </si>
  <si>
    <t>Kinh phí Quan trắc môi trường nuôi trồng thủy sản trên địa bàn tỉnh Tây Ninh</t>
  </si>
  <si>
    <t>Chi sự nghiệp kinh tế - Sự nghiệp thủy lợi (Loại 280, khoản 283)</t>
  </si>
  <si>
    <t>Kinh phí không thực hiện chế độ tự chủ (Nguồn 12), bao gồm:</t>
  </si>
  <si>
    <t>Chi sự nghiệp Đào tạo và dạy nghề: Kinh phí không thực hiện chế độ tự chủ (Loại 070, khoản 083, nguồn 12)</t>
  </si>
  <si>
    <t>Chi quản lý hành chính: Kinh phí không thực hiện chế độ tự chủ (Loại 340, khoản 341, nguồn 12)</t>
  </si>
  <si>
    <t>Chi quản lý hành chính: Kinh phí không thực hiện chế độ tự chủ (Loại 340 - khoản 341, nguồn 12)</t>
  </si>
  <si>
    <t>Sự nghiệp môi trường: Kinh phí không thực hiện chế độ tự chủ (Loại 250, khoản 278, nguồn 12)</t>
  </si>
  <si>
    <t xml:space="preserve">Chi sự nghiệp kinh tế - Sự nghiệp nông nghiệp: Kinh phí không thực hiện chế độ tự chủ (Loại 280, khoản 281, nguồn 12) </t>
  </si>
  <si>
    <t>Sự nghiệp kinh tế - sự nghiệp lâm nghiệp: Kinh phí không thực hiện chế độ tự chủ (Loại 280, khoản 282, nguồn 12)</t>
  </si>
  <si>
    <t>Chi sự nghiệp môi trường: Kinh phí không thực hiện chế độ tự chủ (Loại 250, khoản 278, nguồn 12)</t>
  </si>
  <si>
    <t>Sự nghiệp môi trường: Kinh phí không thực hiện chế độ tự chủ (Loại 250, khoản 251, nguồn 12)</t>
  </si>
  <si>
    <t>Kinh phí thực hiện nhiệm vụ được giao:</t>
  </si>
  <si>
    <t>Chi sự nghiệp kinh tế - Sự nghiệp lâm nghiệp (Loại 280, khoản 282)</t>
  </si>
  <si>
    <t xml:space="preserve"> + Kiểm tra việc chấp hành quy định của pháp luật đối với các công trình cấp nước trên địa bàn tỉnh</t>
  </si>
  <si>
    <t xml:space="preserve"> + Kinh phí thuê tư vấn xác định chỉ số giá xây dựng công trình thủy lợi</t>
  </si>
  <si>
    <t xml:space="preserve"> + Kinh phí Hoạt động BCĐ Chương trình mục tiêu phát triển lâm nghiệp bền vững </t>
  </si>
  <si>
    <t xml:space="preserve"> + Kinh phí hoạt động của lực lượng xử phạt vi phạm hành chính LVQLBVR</t>
  </si>
  <si>
    <t xml:space="preserve"> + Kinh phí kiểm tra chuyên ngành (lĩnh vực lâm nghiệp)</t>
  </si>
  <si>
    <t xml:space="preserve"> + Chi phí quản lý, xử lý tang vật do vi phạm hành chính</t>
  </si>
  <si>
    <t>- Kinh phí hỗ trợ hợp đồng lao động theo Nghị định số 111/NĐ-CP của Chính phủ (03 HĐLĐ)</t>
  </si>
  <si>
    <t xml:space="preserve"> + Kinh phí chi bồi dưỡng đối với người làm nhiệm vụ tiếp công dân, giải quyết đơn khiếu nại, tố cáo</t>
  </si>
  <si>
    <t xml:space="preserve"> + Kinh phí hoạt động tổ chức cơ sở Đảng </t>
  </si>
  <si>
    <t xml:space="preserve"> + Kinh phí rà soát thủ tục hành chính</t>
  </si>
  <si>
    <t xml:space="preserve"> + Kinh phí mua sắm trang phục thanh tra</t>
  </si>
  <si>
    <t xml:space="preserve"> + Kinh phí Xây dựng VBQPPL</t>
  </si>
  <si>
    <t xml:space="preserve"> + Kinh phí thanh tra, kiểm tra chuyên ngành </t>
  </si>
  <si>
    <t xml:space="preserve"> + Kinh phí đối nội, đối ngoại</t>
  </si>
  <si>
    <t xml:space="preserve"> + Kinh phí hoạt động của nhóm công tác thực hiện những giải pháp mang tính đột phá về phát triển kinh tế - xã hội lĩnh vực nông nghiệp</t>
  </si>
  <si>
    <t xml:space="preserve"> + Kinh phí kiểm tra dự án thuộc Quy hoạch bố trí dân cư</t>
  </si>
  <si>
    <t xml:space="preserve"> + Kinh phí hoạt động BCĐ Xây dựng nông thôn mới</t>
  </si>
  <si>
    <t xml:space="preserve"> + Kinh phí Hoạt động Hội đồng thẩm định dự án về hỗ trợ lãi vay (theo Quyết định số 21/2019/QĐ-UBND)</t>
  </si>
  <si>
    <t xml:space="preserve"> + Kinh phí hoạt động Hội đồng thẩm định hồ sơ cấp tỉnh về hỗ trợ liên kết sản xuất và tiêu thụ sản phẩm nông nghiệp trên địa bàn tỉnh (theo Quyết định số 23/2019/QĐ-UBND)</t>
  </si>
  <si>
    <t xml:space="preserve"> + Nhiệm vụ giám sát chữ đường, nhà máy mì</t>
  </si>
  <si>
    <t xml:space="preserve"> + Kinh phí Tổ thẩm định vùng nông nghiệp ứng dụng công nghệ cao trên địa bàn tỉnh</t>
  </si>
  <si>
    <t>j</t>
  </si>
  <si>
    <t>085</t>
  </si>
  <si>
    <t>Chương trình MTQG Giảm nghèo bền vững (mã CTMTQG: 00470)</t>
  </si>
  <si>
    <t>Chi sự nghiệp giáo dục, đào tạo và dạy nghề - Sự nghiệp đào tạo và dạy nghề: Kinh phí không thực hiện chế độ tự chủ (Loại 070, khoản 085, nguồn 12)</t>
  </si>
  <si>
    <t>B.2.2</t>
  </si>
  <si>
    <t>DỰ TOÁN CHI TỪ NGUỒN CCTL TỪ NGUỒN THU SỰ NGHIỆP CỦA ĐƠN VỊ ĐỂ THỰC HIỆN NHU CẦU TĂNG THÊM MLCS TỪ 1.490.000 ĐỒNG LÊN 1.800.000 ĐỒNG</t>
  </si>
  <si>
    <t>Nguồn trích CCTL từ nguồn thu sự nghiệp của đơn vị năm trước chuyển sang (10 biên chế)</t>
  </si>
  <si>
    <t>VĂN PHÒNG SỞ NÔNG NGHIỆP VÀ PHÁT TRIỂN NÔNG THÔN</t>
  </si>
  <si>
    <t>- Kinh phí hỗ trợ HĐLĐ theo Nghị định số 111/NĐ-CP của Chính phủ (5 người)</t>
  </si>
  <si>
    <t>- Nguồn CCTL thực hiện nhu cầu tăng MLCS từ 1.490.000 đồng lên 1.800.000 đồng (46 biên chế)</t>
  </si>
  <si>
    <t xml:space="preserve"> + Kinh phí trang bị xe ô tô (thực hiện khi có chủ trương của UBND tỉnh)</t>
  </si>
  <si>
    <t>* Kinh phí không thực hiện chế độ tự chủ (Nguồn 12)</t>
  </si>
  <si>
    <t xml:space="preserve"> Kinh phí đối ứng thực hiện CTMTQG Giảm nghèo bền vững (Mã CT: 00470)</t>
  </si>
  <si>
    <t xml:space="preserve"> - Dự án 7. Nâng cao năng lực và giám sát, đánh giá Chương trình (Mã CT: 00477)</t>
  </si>
  <si>
    <t>Chi sự nghiệp giáo dục, đào tạo và dạy nghề - Sự nghiệp đào tạo (Loại 070, khoản 085)</t>
  </si>
  <si>
    <t>Chi sự nghiệp khoa học và công nghệ (Loại 100, khoản 103)</t>
  </si>
  <si>
    <t>- Nguồn CCTL thực hiện nhu cầu tăng MLCS từ 1.490.000 đồng lên 1.800.000 đồng (16 biên chế)</t>
  </si>
  <si>
    <t>Sự nghiệp thủy lợi (khoản 283): Kinh phí không thực hiện chế độ tự chủ (Nguồn 12)</t>
  </si>
  <si>
    <t>Kinh phí không thực hiện chế độ tự chủ (Nguồn 12)</t>
  </si>
  <si>
    <t>- Nguồn CCTL thực hiện nhu cầu tăng MLCS từ 1.490.000 đồng lên 1.800.000 đồng (66 biên chế)</t>
  </si>
  <si>
    <t>- Nguồn CCTL thực hiện nhu cầu tăng MLCS từ 1.490.000 đồng lên 1.800.000 đồng (20 biên chế)</t>
  </si>
  <si>
    <t>- Nguồn CCTL thực hiện nhu cầu tăng MLCS từ 1.490.000 đồng lên 1.800.000 đồng (15 biên chế)</t>
  </si>
  <si>
    <t>- Nguồn CCTL thực hiện nhu cầu tăng MLCS từ 1.490.000 đồng lên 1.800.000 đồng (38 biên chế)</t>
  </si>
  <si>
    <t>Chi sự nghiệp môi trường (Loại 250, khoản 278)</t>
  </si>
  <si>
    <t>- Nguồn CCTL thực hiện nhu cầu tăng MLCS từ 1.490.000 đồng lên 1.800.000 đồng (48 biên chế)</t>
  </si>
  <si>
    <t>Sự nghiệp môi trường (Loại 250, khoản 251)</t>
  </si>
  <si>
    <t>- Kinh phí Quan trắc môi trường nuôi trồng thủy sản trên địa bàn tỉnh Tây Ninh</t>
  </si>
  <si>
    <t>- Nguồn CCTL thực hiện nhu cầu tăng MLCS từ 1.490.000 đồng lên 1.800.000 đồng (47 biên chế)</t>
  </si>
  <si>
    <t xml:space="preserve">- Chi bộ máy sự nghiệp, trong đó:  </t>
  </si>
  <si>
    <t>- Nguồn CCTL thực hiện nhu cầu tăng MLCS từ 1.490.000 đồng lên 1.800.000 đồng (33 biên chế)</t>
  </si>
  <si>
    <t>- Nguồn CCTL thực hiện nhu cầu tăng MLCS từ 1.490.000 đồng lên 1.800.000 đồng (10 biên chế)</t>
  </si>
  <si>
    <t>B.2.1</t>
  </si>
  <si>
    <t>Dự án 7. Nâng cao năng lực và giám sát, đánh giá Chương trình (mã CT: 00477)</t>
  </si>
  <si>
    <t>Sự nghiệp kinh tế - Sự nghiệp thủy lợi (Loại 280, khoản 283)</t>
  </si>
  <si>
    <t>- Kinh phí hỗ trợ lãi vay phát triển thực hành sản xuất nông nghiệp tốt</t>
  </si>
  <si>
    <t xml:space="preserve">- Kinh phí xúc tiến thương mại </t>
  </si>
  <si>
    <t>Sự nghiệp môi trường (Loại 250, khoản 278)</t>
  </si>
  <si>
    <t xml:space="preserve">- Dự án Ứng dụng công nghệ viễn thám và GIS để tích hợp dự báo mực nước tại hồ chứa, dự báo lũ, ngập lụt có nguy cơ xảy ra trên địa bàn tỉnh Tây Ninh </t>
  </si>
  <si>
    <t xml:space="preserve">  + Kinh phí bổ sung để đảm bảo cơ cấu quỹ lương tối đa bằng 75% trên tổng chi thường xuyên</t>
  </si>
  <si>
    <t>- Kinh phí hỗ trợ áp dụng quy trình thực hành sản xuất nông nghiệp tốt trong nông nghiệp và thủy sản (lĩnh vực trồng trọt) theo Nghị quyết số 18/2021/NQ-HĐND ngày 09/12/2020</t>
  </si>
  <si>
    <t xml:space="preserve">  + Chi quỹ lương theo mức lương cơ sở 1.490.000 đồng (47 biên chế)</t>
  </si>
  <si>
    <t xml:space="preserve"> - Kinh phí trợ cấp tiền Tết của Ủy ban nhân dân tỉnh, trong đó:</t>
  </si>
  <si>
    <t xml:space="preserve"> + Kinh phí trợ cấp tiền Tết cho công chức (44 người)</t>
  </si>
  <si>
    <t xml:space="preserve"> + Kinh phí trợ cấp tiền Tết cho HĐLĐ theo Nghị định số 111/NĐ-CP của Chính phủ (5 người)</t>
  </si>
  <si>
    <t xml:space="preserve"> + Kinh phí trợ cấp tiền Tết cho công chức (12 người)</t>
  </si>
  <si>
    <t xml:space="preserve"> + Kinh phí trợ cấp tiền Tết cho HĐLĐ theo Nghị định số 111/NĐ-CP của Chính phủ (2 người)</t>
  </si>
  <si>
    <t xml:space="preserve"> + Kinh phí trợ cấp tiền Tết cho HĐLĐ của Quỹ Phòng, chống thiên tai Tỉnh Tây Ninh (2 người) </t>
  </si>
  <si>
    <t xml:space="preserve"> + Kinh phí trợ cấp tiền Tết cho công chức, viên chức (72 người)</t>
  </si>
  <si>
    <t xml:space="preserve"> + Kinh phí trợ cấp tiền Tết cho HĐLĐ theo Nghị định số 111/NĐ-CP của Chính phủ (10 người)</t>
  </si>
  <si>
    <t xml:space="preserve"> + Kinh phí trợ cấp tiền Tết cho HĐLĐ dài hạn của Quỹ Bảo vệ và Phát triển rừng Tây Ninh (3 người) </t>
  </si>
  <si>
    <t xml:space="preserve"> + Kinh phí trợ cấp tiền Tết cho công chức, viên chức (40 người)</t>
  </si>
  <si>
    <t xml:space="preserve"> + Kinh phí trợ cấp tiền Tết cho công chức, viên chức (61 người)</t>
  </si>
  <si>
    <t xml:space="preserve"> + Kinh phí trợ cấp tiền Tết cho HĐLĐ phục vụ công tác kiểm soát giết mổ (45 người)</t>
  </si>
  <si>
    <t xml:space="preserve"> + Kinh phí trợ cấp tiền Tết cho viên chức (36 người)</t>
  </si>
  <si>
    <t xml:space="preserve"> + Kinh phí trợ cấp tiền Tết cho Hợp đồng thu hút, HĐLĐ theo Nghị định số 111/NĐ-CP của Chính phủ (7 người)</t>
  </si>
  <si>
    <t xml:space="preserve"> + Kinh phí trợ cấp tiền Tết cho viên chức (32 người)</t>
  </si>
  <si>
    <t xml:space="preserve"> + Kinh phí trợ cấp tiền Tết cho HĐLĐ theo Nghị định số 111/NĐ-CP của Chính phủ (3 người)</t>
  </si>
  <si>
    <t xml:space="preserve"> + Kinh phí trợ cấp tiền Tết cho viên chức (NSNN) (10 người)</t>
  </si>
  <si>
    <t xml:space="preserve"> + Kinh phí trợ cấp tiền Tết cho viên chức (Nguồn thu sự nghiệp) (4 người)</t>
  </si>
  <si>
    <t xml:space="preserve"> + Kinh phí trợ cấp tiền Tết cho HĐLĐ phục vụ công tác thu Phí (85 người)</t>
  </si>
  <si>
    <t>Sửa chữa trụ sở làm việc của Sở Nông nghiệp và Phát triển nông thôn tỉnh Tây Ninh và các đơn vị trực thuộc</t>
  </si>
  <si>
    <t>SO SÁNH (%)</t>
  </si>
  <si>
    <t xml:space="preserve">DỰ TOÁN </t>
  </si>
  <si>
    <t xml:space="preserve">CÙNG KỲ </t>
  </si>
  <si>
    <t>4=2/1*100</t>
  </si>
  <si>
    <t>5=2/3*100</t>
  </si>
  <si>
    <t xml:space="preserve"> - Nguồn tiết kiệm 10% chi thường xuyên (dùng làm CCTL và chính sách an sinh xã hội)</t>
  </si>
  <si>
    <t xml:space="preserve">  + Kinh phí kiểm tra, khảo sát ngành nghề nông thôn</t>
  </si>
  <si>
    <t>- Kinh phí nghỉ hưu trước tuổi theo Nghị định 108/2014/NĐ-CP,
Nghị định 113/2018/NĐ-CP, Nghị định 143/2020/NĐ-CP của Chính
phủ cho Bà Phạm Thị Bích Hà</t>
  </si>
  <si>
    <t>SỐ TIỀN 
(DỰ TOÁN GIAO)</t>
  </si>
  <si>
    <t>SNNN</t>
  </si>
  <si>
    <t>SNLN</t>
  </si>
  <si>
    <t>SNTL</t>
  </si>
  <si>
    <t>SN KT khac</t>
  </si>
  <si>
    <t>SNMT</t>
  </si>
  <si>
    <t>tết</t>
  </si>
  <si>
    <t>SNKHCN</t>
  </si>
  <si>
    <t>SNGD</t>
  </si>
  <si>
    <t>NSTW</t>
  </si>
  <si>
    <t>NSDP</t>
  </si>
  <si>
    <t>Đơn vị: Sở Nông nghiệp và Phát triển nông thôn</t>
  </si>
  <si>
    <t>CỘNG HÒA XÃ HỘI CHỦ NGHĨA VIỆT NAM</t>
  </si>
  <si>
    <t>Chương: 412</t>
  </si>
  <si>
    <t>Độc lập - Tự do - Hạnh phúc</t>
  </si>
  <si>
    <t>(Dùng cho đơn vị dự toán cấp trên và đơn vị  dự toán sử dụng ngân sách nhà nước)</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</si>
  <si>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</si>
  <si>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9 năm 2018 của Bộ trưởng Bộ Tài chính Sửa đổi, bổ sung một số điều của Thông tư số 61/2017/TT-BTC ngày 15/6/2017 của Bộ Tài chính hướng dẫn về công khai ngân sách đối với các đơn vị dự toán ngân sách, tổ chức được ngân sách nhà nước hỗ trợ.</t>
  </si>
  <si>
    <t>ĐV tính: Triệu đồng</t>
  </si>
  <si>
    <t xml:space="preserve">Số 
TT </t>
  </si>
  <si>
    <t>CCCN và TY</t>
  </si>
  <si>
    <t>TTKN</t>
  </si>
  <si>
    <t>CCTT và BVTV</t>
  </si>
  <si>
    <t>Dầu Tiếng</t>
  </si>
  <si>
    <t>Thủy lợi</t>
  </si>
  <si>
    <t>CCKL</t>
  </si>
  <si>
    <t>VPS</t>
  </si>
  <si>
    <t>TTNS</t>
  </si>
  <si>
    <t>4</t>
  </si>
  <si>
    <t>5=4/3*100%</t>
  </si>
  <si>
    <t>6</t>
  </si>
  <si>
    <t>Tổng số thu, chi, nộp ngân sách phí, lệ phí</t>
  </si>
  <si>
    <t xml:space="preserve"> Số thu phí, lệ phí</t>
  </si>
  <si>
    <t>Lệ phí</t>
  </si>
  <si>
    <t>Phí</t>
  </si>
  <si>
    <t xml:space="preserve"> - Phí thẩm định dự án đầu tư xây dựng</t>
  </si>
  <si>
    <t xml:space="preserve"> - Phí quảng cáo thuốc BVTV; cấp GCN đủ điều kiện kinh doanh phân bón, thuốc BVTV</t>
  </si>
  <si>
    <t>Chi từ nguồn thu phí được để lại</t>
  </si>
  <si>
    <t>Chi sự nghiệp Nông nghiệp</t>
  </si>
  <si>
    <t xml:space="preserve"> Kinh phí nhiệm vụ thường xuyên</t>
  </si>
  <si>
    <t>Kinh phí nhiệm vụ không thường xuyên</t>
  </si>
  <si>
    <t>Chi quản lý hành chính</t>
  </si>
  <si>
    <t xml:space="preserve"> Kinh phí thực hiện chế độ tự chủ </t>
  </si>
  <si>
    <t xml:space="preserve">Kinh phí không thực hiện chế độ tự chủ </t>
  </si>
  <si>
    <t xml:space="preserve"> Số phí, lệ phí nộp ngân sách nhà nước</t>
  </si>
  <si>
    <t>Dự toán chi ngân sách nhà nước</t>
  </si>
  <si>
    <t>Nguồn ngân sách trong nước</t>
  </si>
  <si>
    <t>Thu y</t>
  </si>
  <si>
    <t>BVTV</t>
  </si>
  <si>
    <t>CCTL</t>
  </si>
  <si>
    <t>Chi sự nghiệp khoa học và công nghệ</t>
  </si>
  <si>
    <t>Kinh phí thực hiện nhiệm vụ khoa học công nghệ</t>
  </si>
  <si>
    <t>- Nhiệm vụ khoa học công nghệ cấp quốc gia</t>
  </si>
  <si>
    <t>- Nhiệm vụ khoa học công nghệ cấp Bộ</t>
  </si>
  <si>
    <t>- Nhiệm vụ khoa học công nghệ cấp cơ sở</t>
  </si>
  <si>
    <t xml:space="preserve"> Kinh phí nhiệm vụ thường xuyên theo chức năng</t>
  </si>
  <si>
    <t xml:space="preserve">Kinh phí nhiệm vụ không thường xuyên </t>
  </si>
  <si>
    <t>Chi sự nghiệp giáo dục, đào tạo và dạy nghề</t>
  </si>
  <si>
    <t>3.1</t>
  </si>
  <si>
    <t>3.2</t>
  </si>
  <si>
    <t xml:space="preserve">Chi sự nghiệp y tế, dân số và gia đình </t>
  </si>
  <si>
    <t>4.1</t>
  </si>
  <si>
    <t>4.2</t>
  </si>
  <si>
    <t xml:space="preserve">Chi bảo đảm xã hội  </t>
  </si>
  <si>
    <t>5.1</t>
  </si>
  <si>
    <t>5.2</t>
  </si>
  <si>
    <t xml:space="preserve">Chi hoạt động kinh tế </t>
  </si>
  <si>
    <t>DT</t>
  </si>
  <si>
    <t>thu y</t>
  </si>
  <si>
    <t>6.1</t>
  </si>
  <si>
    <t>6.2</t>
  </si>
  <si>
    <t>Chi sự nghiệp bảo vệ môi trường</t>
  </si>
  <si>
    <t>7.1</t>
  </si>
  <si>
    <t>7.2</t>
  </si>
  <si>
    <t xml:space="preserve">Chi sự nghiệp văn hóa thông tin  </t>
  </si>
  <si>
    <t>8.1</t>
  </si>
  <si>
    <t>8.2</t>
  </si>
  <si>
    <t>Chi sự nghiệp phát thanh, truyền hình, thông tấn</t>
  </si>
  <si>
    <t>9.1</t>
  </si>
  <si>
    <t>9.2</t>
  </si>
  <si>
    <t>Chi sự nghiệp thể dục thể thao</t>
  </si>
  <si>
    <t>10.1</t>
  </si>
  <si>
    <t>10.2</t>
  </si>
  <si>
    <t>Chi Chương trình mục tiêu quốc gia</t>
  </si>
  <si>
    <t>11.1</t>
  </si>
  <si>
    <t xml:space="preserve">Chi Chương trình mục tiêu </t>
  </si>
  <si>
    <t>11.2</t>
  </si>
  <si>
    <t xml:space="preserve">Chương trình  MTQG XD NTM Giảm nghèo bền vững </t>
  </si>
  <si>
    <t>Chương trình MTQG Xây dựng Nông thôn mới</t>
  </si>
  <si>
    <t>Nguồn vốn viện trợ</t>
  </si>
  <si>
    <t>Nguồn vay nợ nước ngoài</t>
  </si>
  <si>
    <t>Dự toán năm 2024</t>
  </si>
  <si>
    <t>tu chu</t>
  </si>
  <si>
    <t>khong tu chu</t>
  </si>
  <si>
    <t>CTMT</t>
  </si>
  <si>
    <t>CTMTQQG</t>
  </si>
  <si>
    <t>Giam ngheo</t>
  </si>
  <si>
    <t>NTM</t>
  </si>
  <si>
    <t>-</t>
  </si>
  <si>
    <t>Nguồn ngân sách tỉnh</t>
  </si>
  <si>
    <t xml:space="preserve">Kinh phí thực hiện chế độ tự chủ </t>
  </si>
  <si>
    <t>Sự nghiệp kinh tế</t>
  </si>
  <si>
    <t>Sự nghiệp nông nghiệp</t>
  </si>
  <si>
    <t>Sự nghiệp lâm nghiệp</t>
  </si>
  <si>
    <t>Sự nghiệp thủy lợi</t>
  </si>
  <si>
    <t>Sự nghiệp kinh tế khác</t>
  </si>
  <si>
    <t>Sự nghiệp môi trường</t>
  </si>
  <si>
    <t>Nguồn ngân sách trung ương</t>
  </si>
  <si>
    <t>Chi chương trình mục tiêu, nhiệm vụ - Chương trình mục tiêu Phát triển lâm nghiệp bền vững (Mã CTMT: 00620)</t>
  </si>
  <si>
    <t>Chi chương trình mục tiêu quốc gia</t>
  </si>
  <si>
    <t>Nguồn thu</t>
  </si>
  <si>
    <t>CHI TIẾT CỤ THỂ ĐƠN VỊ</t>
  </si>
  <si>
    <t>Văn phòng Sở Nông nghiệp và Phát triển nông thôn</t>
  </si>
  <si>
    <t>Chi cục Chăn nuôi và Thú y</t>
  </si>
  <si>
    <t>Chi cục Trồng trọt và Bảo vệ thực vật</t>
  </si>
  <si>
    <t xml:space="preserve">- Phí thẩm định dự án đầu tư </t>
  </si>
  <si>
    <t>- Phí kiểm soát giết mổ động vật, sát trùng</t>
  </si>
  <si>
    <t>- Lệ phí cấp chứng chỉ hành nghề dịch vụ thú y; cấp giấy chứng nhận kiểm dịch động vật, sản phẩm động vật trên cạn</t>
  </si>
  <si>
    <t xml:space="preserve">A </t>
  </si>
  <si>
    <t>- Kinh phí chi trả chế độ nghỉ hưu theo Nghị định 108/2014/NĐ-CP, Nghị định 113/2018/NĐ-CP, Nghị định 143/2020/NĐ-CP của Chính phủ cho Ông Trần Thanh Nhã</t>
  </si>
  <si>
    <t>* Nguồn 15</t>
  </si>
  <si>
    <t>- Kinh phí sửa chữa trạm biến áp của cơ quan Sở Nông nghiệp và Phát triển nông thôn</t>
  </si>
  <si>
    <t>Chi sự nghiệp kinh tế (Loại 280): Kinh phí không thực hiện chế độ tự chủ</t>
  </si>
  <si>
    <t>- Kinh phí xây dựng văn bản quy phạm pháp luật</t>
  </si>
  <si>
    <t>Quan trắc định kỳ hàng năm nhằm kiểm soát và dự báo chất lượng nước trong công trình thủy lợi trên địa bàn tỉnh Tây Ninh</t>
  </si>
  <si>
    <t>Sự nghiệp kinh tế khác Kinh phí không thực hiện chế độ tự chủ (Nguồn 12)</t>
  </si>
  <si>
    <t xml:space="preserve"> Kinh phí Dự án Xây dựng bản đồ cảnh báo ngập lụt vùng có nguy cơ thiệt hại do thiên tai trên địa bàn tỉnh Tây Ninh</t>
  </si>
  <si>
    <t xml:space="preserve">  + Kinh phí mua sắm trang phục thanh tra </t>
  </si>
  <si>
    <t>- Kinh phí chi trả chế độ thôi việc theo Nghị định số 46/2010/NĐ-CP ngày 27/4/2010 của Chính phủ cho Ông Phạm Tấn Tài</t>
  </si>
  <si>
    <t>- Kinh phí trả chế độ thôi việc theo Nghị định số 46/2010/NĐ-CP ngày 27/4/2010 của Chính phủ cho ông Nguyễn Viết Quế</t>
  </si>
  <si>
    <t>- Kinh phí trả chế độ thôi việc theo Nghị định số 46/2010/NĐ-CP ngày 27/4/2010 của Chính phủ cho ông Nguyễn Văn Hồng</t>
  </si>
  <si>
    <t>- Kinh phí trả chế độ thôi việc theo Nghị định số 46/2010/NĐ-CP ngày 27/4/2010 của Chính phủ cho ông Trần Văn Trạch</t>
  </si>
  <si>
    <t xml:space="preserve"> - Kinh phí thực hiện xây dựng khung giá các loại rừng trên địa bàn tỉnh Tây Ninh theo Quyết định số 339/QĐ-UBND ngày 23/02/2023 của Chủ tịch UBND tỉnh. </t>
  </si>
  <si>
    <t xml:space="preserve"> Kinh phí mua sắm, sửa chữa</t>
  </si>
  <si>
    <t>- Kinh phí chi trả chế độ thôi việc theo Nghị định số 46/2010/NĐ-CP ngày 27/4/2010 của Chính phủ cho ông Nguyễn Văn Hồng</t>
  </si>
  <si>
    <t>- Kinh phí chi trả chế độ thôi việc theo Nghị định số 115/2020/NĐ-CP ngày 25/9/202 của Chính phủ cho ông Trần Văn Re</t>
  </si>
  <si>
    <t>- Kinh phí chi trả chế độ thôi việc theo Nghị định số 115/2020/NĐ-CP ngày 25/9/202 của Chính phủ cho ông Nguyễn Văn Huấn</t>
  </si>
  <si>
    <t>- Tập huấn nông dân về bảo vệ thực vật</t>
  </si>
  <si>
    <t>- Kinh phí phòng chống dịch bệnh rầy nâu hại lúa và rệp sáp hại mì</t>
  </si>
  <si>
    <t>- Kinh phí quản lý dịch hại cây trồng</t>
  </si>
  <si>
    <t>- Kiểm tra, giám sát điều kiện đảm bảo chất lượng vật tư nông nghiệp trên địa bàn tỉnh</t>
  </si>
  <si>
    <t>- Kinh phí trả chế độ thôi việc theo Nghị định số 115/2020/NĐ-CP ngày 25/9/2020 của Chính phủ cho ông Phan Văn Tư</t>
  </si>
  <si>
    <t>-+ Kinh phí trả chế độ thôi việc theo Nghị định số 46/2010/NĐ-CP ngày 27/4/2010 của Chính phủ cho ông Nguyễn Thành Thúc</t>
  </si>
  <si>
    <t>y</t>
  </si>
  <si>
    <t>u</t>
  </si>
  <si>
    <t>- Kinh phí Điều tra, cung cấp số liệu hoàn thiện cơ sở dữ liệu về nuôi trồng thủy sản</t>
  </si>
  <si>
    <t>z</t>
  </si>
  <si>
    <t>Xây dựng vùng chăn nuôi gia cầm an toàn dịch bệnh đối với bệnh cúm gia cầm và Niu-cát-xơn</t>
  </si>
  <si>
    <t>x</t>
  </si>
  <si>
    <t>Giám sát an toàn thực phẩm chuỗi thịt gia súc, gia cầm tiêu thụ trong nước</t>
  </si>
  <si>
    <t>v</t>
  </si>
  <si>
    <t>Nâng cao năng lực quản lý về thuốc, vắc xin thú y đảm bảo chất lượng, an toàn, hiệu quả</t>
  </si>
  <si>
    <t>Chi quản lý hành chính Kinh phí không giao thực hiện chế độ tự chủ (Loại 340, khoản 341)</t>
  </si>
  <si>
    <t>- Kinh phí chi trả chế độ thôi việc theo Nghị định số 46/2010/NĐ-CP ngày 27/4/2010 và Nghị định số 115/2020/NĐ-CP ngày 25/9/202 của Chính phủ cho ông Trần Thanh Xuân (12 -341)</t>
  </si>
  <si>
    <t>Kinh phí hỗ trợ hợp đồng lao động theo Nghị định số 111/NĐ-CP của Chính phủ (01 HĐLĐ)</t>
  </si>
  <si>
    <t>Kinh phí ban biên tập và đăng bài trên cổng thông tin điện tử năm 2024</t>
  </si>
  <si>
    <t>- Kinh phí trả chế độ thôi việc theo Nghị định số 29/2023/NĐ-CP
ngày 03/6/2023 của Chính phủ cho bà Nguyễn Kiêm Phượng</t>
  </si>
  <si>
    <t>- Kinh phí trả chế độ thôi việc theo Nghị định số 115/2020/NĐ-CP
ngày 25/9/2020 của Chính phủ cho bà Nguyễn Thị Hải Đường</t>
  </si>
  <si>
    <t>Quản lý hành chính 12-341</t>
  </si>
  <si>
    <t>- Kinh phí trang bị xe ô tô phục vụ công tác chung cho Trung tâm Nước sạch và Vệ sinh môi trường nông thôn</t>
  </si>
  <si>
    <t xml:space="preserve"> - Kinh phí chi trả bảo hành công trình xây dựng, lắp đặt điện 3 pha tại các trạm cấp nước tập trung huyện Bến Cầu, Trảng Bàng và huyện Tân Biên</t>
  </si>
  <si>
    <t xml:space="preserve"> - Sử dụng công nghệ lắng Lamen trong xử lý nước</t>
  </si>
  <si>
    <t xml:space="preserve"> - Gia hạn giếng khoan</t>
  </si>
  <si>
    <t>- Kinh phí lắp đặt các thiết bị quan trắc tại các công trình cấp nước tập trung</t>
  </si>
  <si>
    <t>Chi quản lý nhà nước: Kinh phí không thực hiện chế độ tự chủ (Loại 340, khoản 341, nguồn 12)</t>
  </si>
  <si>
    <t>Nâng cao năng lực và giám sát, đánh giá Chương trình
' --&gt; Tiểu DA 2: Giám sát, đánh giá.</t>
  </si>
  <si>
    <t>- Đào tạo nâng cao năng lực đội ngũ cán bộ làm công tác xây dựng nông thôn mới các cấp, nâng cao nhận thức và chuyển đổi tư duy của người dân và cộng đồng.</t>
  </si>
  <si>
    <t>Sự nghiệp kinh tế - sự nghiệp nông nghiệp: Kinh phí không thực hiện chế độ tự chủ (Loại 280 - Khoản 281, nguồn: 12)</t>
  </si>
  <si>
    <t>- Hỗ trợ cơ giới hóa, ứng dụng công nghệ cao trong sản xuất nông nghiệp hiện đại</t>
  </si>
  <si>
    <t>- Duy tu, bảo dưỡng công trình cấp nước tại các xã NTM, NTM nâng cao năm 2023</t>
  </si>
  <si>
    <t xml:space="preserve"> Nâng cấp Hệ thống điện tại Công trình cấp nước ấp Đồng Kèn 2, xã Tân Thành, huyện Tân Châu thuộc các xã NTM, NTM nâng cao năm 2025</t>
  </si>
  <si>
    <t xml:space="preserve">- Kinh phí chi trả chính sách nghỉ hưu trước tuổi theo Nghị định số 29/2023/NĐ-CP ngày 03/6/2023 của Chính phủ cho Ông Phạm Xuân Thành </t>
  </si>
  <si>
    <t>- Kinh phí chi trả chính sách nghỉ hưu trước tuổi theo Nghị định số 29/2023/NĐ-CP ngày 03/6/2023 của Chính phủ cho Ông Phan Thanh Quang</t>
  </si>
  <si>
    <t>- Kinh phí chi trả chính sách nghỉ hưu trước tuổi theo Nghị định số 29/2023/NĐ-CP ngày 03/6/2023 của Chính phủ cho Ông Nguyễn Tấn Phúc</t>
  </si>
  <si>
    <t>THỰC HIỆN KỲ BÁO CÁO NĂM 2024</t>
  </si>
  <si>
    <t>THỰC HIỆN CÙNG KỲ NĂM 2023</t>
  </si>
  <si>
    <t xml:space="preserve">  + Chi quỹ lương theo mức lương cơ sở 2.340.000 đồng (46 biên chế) (Năm 2024 thực hiện nhu cầu tăng MLCS từ 1.800.000 đồng lên 2.340.000 đồng)</t>
  </si>
  <si>
    <t xml:space="preserve">  + Chi quỹ lương theo mức lương cơ sở 2.340.000 đồng (16 biên chế) (Năm 2024 thực hiện nhu cầu tăng MLCS từ 1.800.000 đồng lên 2.340.000 đồng (16 biên chế))</t>
  </si>
  <si>
    <t>- Chi quỹ lương đảm bảo mức lương cơ sở từ 1.800.000 đồng lên 2.340.000 đồng theo Nghị định số 73/2024/NĐ-CP của Chính phủ (Nguồn CCTL ngân sách tỉnh) (chuyển nguồn 2023 sang 2024)</t>
  </si>
  <si>
    <r>
      <t>- Kinh phí thực hiện công tác bảo quản vật chứng là 258,991 m</t>
    </r>
    <r>
      <rPr>
        <vertAlign val="superscript"/>
        <sz val="13"/>
        <rFont val="Times New Roman"/>
        <family val="1"/>
      </rPr>
      <t>3</t>
    </r>
    <r>
      <rPr>
        <sz val="13"/>
        <rFont val="Times New Roman"/>
        <family val="1"/>
      </rPr>
      <t xml:space="preserve"> gỗ tịch thu sung ngân sách nhà nước.</t>
    </r>
  </si>
  <si>
    <t xml:space="preserve">  + Chi quỹ lương theo mức lương cơ sở 2.340.000 đồng (20 biên chế) (Năm 2024 thực hiện nhu cầu tăng MLCS từ 1.800.000 đồng lên 2.340.000 đồng (20 biên chế))</t>
  </si>
  <si>
    <t>- Kinh phí chi trả chính sách trợ cấp thôi việc cho viên chức theo Nghị định số 115/2020/NĐ-CP ngày 25/9/2020 của Chính phủ cho Ông Nguyễn Hoàng Cương</t>
  </si>
  <si>
    <t>- Kinh phí thực hiện hỗ trợ thuốc và vật tư thú y cho Sở Nông nghiệp tỉnh Svay Rieng</t>
  </si>
  <si>
    <t>- Kinh phí thực hiện xử lý thực bì phòng chống cháy rừng</t>
  </si>
  <si>
    <t>- Kinh phí xây dựng văn bản quy phạm pháp luật năm 2024</t>
  </si>
  <si>
    <t>- Kinh phí chi trả chính sách nghỉ hưu trước tuổi theo Nghị định số 29/2023/NĐ-CP ngày 03/6/2023 của Chính phủ cho Ông Trần Bạch Phát</t>
  </si>
  <si>
    <t>Kinh phí không thực hiện chế độ tự chủ - Nguồn 15</t>
  </si>
  <si>
    <t>Sự nghiệp thủy lợi (khoản 283)</t>
  </si>
  <si>
    <t>- Kinh phí hỗ trợ về giá nước sạch sinh hoạt nông thôn năm 2024</t>
  </si>
  <si>
    <t>Sự nghiệp kinh tế khác (khoản 338)</t>
  </si>
  <si>
    <t>Chi quản lý hành chính: Kinh phí không thực hiện chế độ tự chủ (Loại 340 - khoản 341, nguồn 15)</t>
  </si>
  <si>
    <t>Chi khen thưởng tập thể, cá nhân có thành tích xuất sắc trong phong trào thi đua “Tây Ninh chung sức xây dựng nông thôn mới”</t>
  </si>
  <si>
    <r>
      <t xml:space="preserve">PHỤ LỤC
 BIỂU THU, CHI DỰ TOÁN NGÂN SÁCH NHÀ NƯỚC NĂM 2024
</t>
    </r>
    <r>
      <rPr>
        <i/>
        <sz val="13"/>
        <rFont val="Times New Roman"/>
        <family val="1"/>
      </rPr>
      <t>(kèm theo Báo cáo số           /BC-SNN ngày        tháng 01 năm 2025 của Sở Nông nghiệp và Phát triển nông thôn)</t>
    </r>
  </si>
  <si>
    <t xml:space="preserve">  + Nguồn CCTL thực hiện nhu cầu tăng MLCS từ 1.490.000 đồng lên 1.800.000 đồng (46 biên chế)</t>
  </si>
  <si>
    <t xml:space="preserve">  + Nguồn CCTL thực hiện nhu cầu tăng MLCS từ 1.800.000 đồng lên 2.340.000 đồng (chuyển nguồn năm 2023 sang 2024 theo Thông báo số 94/TB-STC-QLNS ngày 13/5/2024 của Sở Tài chính)</t>
  </si>
  <si>
    <t xml:space="preserve">  + Nguồn CCTL thực hiện nhu cầu tăng MLCS từ 1.490.000 đồng lên 1.800.000 đồng (16 biên chế)</t>
  </si>
  <si>
    <t xml:space="preserve">  + Nguồn CCTL thực hiện nhu cầu tăng MLCS từ 1.490.000 đồng lên 1.800.000 đồng (66 biên chế)</t>
  </si>
  <si>
    <t xml:space="preserve">  + Chi quỹ lương đảm bảo mức lương cơ sở từ 1.800.000 đồng lên 2.340.000 đồng theo Nghị định số 73/2024/NĐ-CP của Chính phủ (Nguồn CCTL ngân sách tỉnh)</t>
  </si>
  <si>
    <t xml:space="preserve">  +  Nguồn CCTL thực hiện nhu cầu tăng MLCS từ 1.490.000 đồng lên 1.800.000 đồng (20 biên chế)</t>
  </si>
  <si>
    <t xml:space="preserve">  + Nguồn CCTL thực hiện nhu cầu tăng MLCS từ 1.490.000 đồng lên 1.800.000 đồng (15 biên chế)</t>
  </si>
  <si>
    <t xml:space="preserve">  + Nguồn CCTL thực hiện nhu cầu tăng MLCS từ 1.490.000 đồng lên 1.800.000 đồng (38 biên chế)</t>
  </si>
  <si>
    <t xml:space="preserve">  +  Nguồn CCTL thực hiện nhu cầu tăng MLCS từ 1.490.000 đồng lên 1.800.000 đồng (16 biên chế)</t>
  </si>
  <si>
    <t xml:space="preserve">  + Nguồn CCTL thực hiện nhu cầu tăng MLCS từ 1.490.000 đồng lên 1.800.000 đồng (48 biên chế)</t>
  </si>
  <si>
    <t xml:space="preserve">  + Nguồn CCTL thực hiện nhu cầu tăng MLCS từ 1.490.000 đồng lên 1.800.000 đồng (47 biên chế)</t>
  </si>
  <si>
    <t xml:space="preserve">  + Nguồn CCTL thực hiện nhu cầu tăng MLCS từ 1.490.000 đồng lên 1.800.000 đồng (33 biên chế)</t>
  </si>
  <si>
    <t>1.2.1</t>
  </si>
  <si>
    <t>Nguồn 12</t>
  </si>
  <si>
    <t>Kinh phí không thực hiện chế độ tự chủ</t>
  </si>
  <si>
    <t>* Nguồn 18</t>
  </si>
  <si>
    <t xml:space="preserve"> - Kinh phí thực hiện chế độ tiền thưởng theo Nghị định số 73/2024/NĐ-CP của Chính phủ</t>
  </si>
  <si>
    <t>1.2.2</t>
  </si>
  <si>
    <t>1.2.3</t>
  </si>
  <si>
    <t>1.2.4</t>
  </si>
  <si>
    <t>3.2.1</t>
  </si>
  <si>
    <t xml:space="preserve"> Nguồn 18</t>
  </si>
  <si>
    <t>3.2.2</t>
  </si>
  <si>
    <t>3.2.3</t>
  </si>
  <si>
    <t>3.2..2</t>
  </si>
  <si>
    <t>2.5</t>
  </si>
  <si>
    <t>Nguồn 15</t>
  </si>
  <si>
    <t xml:space="preserve">        Sở Nông nghiệp và Phát triển nông thôn công khai tình hình thực hiện dự toán thu - chi ngân sách năm 2024 như sau:</t>
  </si>
  <si>
    <t>CÔNG KHAI THỰC HIỆN DỰ TOÁN THU - CHI NGÂN SÁCH NĂM 2024</t>
  </si>
  <si>
    <t>Thực
hiện năm 2024</t>
  </si>
  <si>
    <t>Thực
hiện năm 2023</t>
  </si>
  <si>
    <t>Ước thực hiện năm/Dự toán năm (tỷ lệ %)</t>
  </si>
  <si>
    <t>Ước thực hiện năm 2024 so với cùng kỳ năm 2023 
(tỷ lệ %)</t>
  </si>
  <si>
    <t>- Kinh phí phục vụ công tác thu phí</t>
  </si>
  <si>
    <t xml:space="preserve">         Căn cứ Thông tư số 61/2017/TT-BTC ngày 15/6/2017 của Bộ trưởng Bộ Tài chính hướng dẫn về công khai ngân sách đối với đơn vị dự toán ngân sách, tổ chức được ngân sách nhà nước hỗ trợ;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</si>
</sst>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0_ ;\-#,##0\ "/>
    <numFmt numFmtId="168" formatCode="_(* #,##0_);_(* \(#,##0\);_(* &quot;-&quot;??_);_(@_)"/>
    <numFmt numFmtId="169" formatCode="_-* #,##0\ _₫_-;\-* #,##0\ _₫_-;_-* &quot;-&quot;\ _₫_-;_-@_-"/>
    <numFmt numFmtId="170" formatCode="&quot;\&quot;#,##0.00;[Red]&quot;\&quot;&quot;\&quot;&quot;\&quot;&quot;\&quot;&quot;\&quot;&quot;\&quot;\-#,##0.00"/>
    <numFmt numFmtId="171" formatCode="&quot;\&quot;#,##0;[Red]&quot;\&quot;&quot;\&quot;\-#,##0"/>
    <numFmt numFmtId="172" formatCode="\$#,##0\ ;\(\$#,##0\)"/>
    <numFmt numFmtId="173" formatCode="&quot;\&quot;#,##0.00;[Red]&quot;\&quot;\-#,##0.00"/>
    <numFmt numFmtId="174" formatCode="&quot;\&quot;#,##0;[Red]&quot;\&quot;\-#,##0"/>
    <numFmt numFmtId="175" formatCode="#,##0;[Red]#,##0"/>
    <numFmt numFmtId="176" formatCode="#,##0.0_);\(#,##0.0\)"/>
    <numFmt numFmtId="177" formatCode="_(* #.##0.00_);_(* \(#.##0.00\);_(* &quot;-&quot;??_);_(@_)"/>
    <numFmt numFmtId="178" formatCode="#,##0.000_);\(#,##0.000\)"/>
    <numFmt numFmtId="179" formatCode="_-&quot;€&quot;* #,##0_-;\-&quot;€&quot;* #,##0_-;_-&quot;€&quot;* &quot;-&quot;_-;_-@_-"/>
    <numFmt numFmtId="180" formatCode="_-* #,##0\ &quot;€&quot;_-;\-* #,##0\ &quot;€&quot;_-;_-* &quot;-&quot;\ &quot;€&quot;_-;_-@_-"/>
    <numFmt numFmtId="181" formatCode="_-* #,##0\ _F_-;\-* #,##0\ _F_-;_-* &quot;-&quot;\ _F_-;_-@_-"/>
    <numFmt numFmtId="182" formatCode="_ &quot;\&quot;* #,##0_ ;_ &quot;\&quot;* \-#,##0_ ;_ &quot;\&quot;* &quot;-&quot;_ ;_ @_ "/>
    <numFmt numFmtId="183" formatCode="_ &quot;\&quot;* #,##0.00_ ;_ &quot;\&quot;* \-#,##0.00_ ;_ &quot;\&quot;* &quot;-&quot;??_ ;_ @_ "/>
    <numFmt numFmtId="184" formatCode="_ * #,##0_ ;_ * \-#,##0_ ;_ * &quot;-&quot;_ ;_ @_ "/>
    <numFmt numFmtId="185" formatCode="_ * #,##0.00_ ;_ * \-#,##0.00_ ;_ * &quot;-&quot;??_ ;_ @_ "/>
    <numFmt numFmtId="186" formatCode="0.000"/>
    <numFmt numFmtId="187" formatCode="_(* #,##0.0000_);_(* \(#,##0.0000\);_(* &quot;-&quot;??_);_(@_)"/>
    <numFmt numFmtId="188" formatCode="0.0%;[Red]\(0.0%\)"/>
    <numFmt numFmtId="189" formatCode="_ * #,##0.00_)&quot;£&quot;_ ;_ * \(#,##0.00\)&quot;£&quot;_ ;_ * &quot;-&quot;??_)&quot;£&quot;_ ;_ @_ "/>
    <numFmt numFmtId="190" formatCode="_-&quot;$&quot;* #,##0.00_-;\-&quot;$&quot;* #,##0.00_-;_-&quot;$&quot;* &quot;-&quot;??_-;_-@_-"/>
    <numFmt numFmtId="191" formatCode="0.0%;\(0.0%\)"/>
    <numFmt numFmtId="192" formatCode="0.000_)"/>
    <numFmt numFmtId="193" formatCode="&quot;C&quot;#,##0.00_);\(&quot;C&quot;#,##0.00\)"/>
    <numFmt numFmtId="194" formatCode="_ &quot;\&quot;* #,##0.00_ ;_ &quot;\&quot;* &quot;\&quot;&quot;\&quot;&quot;\&quot;&quot;\&quot;&quot;\&quot;&quot;\&quot;&quot;\&quot;&quot;\&quot;&quot;\&quot;\-#,##0.00_ ;_ &quot;\&quot;* &quot;-&quot;??_ ;_ @_ "/>
    <numFmt numFmtId="195" formatCode="&quot;C&quot;#,##0_);\(&quot;C&quot;#,##0\)"/>
    <numFmt numFmtId="196" formatCode="&quot;$&quot;\ \ \ \ #,##0_);\(&quot;$&quot;\ \ \ #,##0\)"/>
    <numFmt numFmtId="197" formatCode="&quot;$&quot;\ \ \ \ \ #,##0_);\(&quot;$&quot;\ \ \ \ \ #,##0\)"/>
    <numFmt numFmtId="198" formatCode="&quot;C&quot;#,##0_);[Red]\(&quot;C&quot;#,##0\)"/>
    <numFmt numFmtId="199" formatCode="#,###;\-#,###;&quot;&quot;;_(@_)"/>
    <numFmt numFmtId="200" formatCode="#,##0_ ;[Red]\-#,##0\ "/>
    <numFmt numFmtId="201" formatCode="#,##0\ &quot;$&quot;_);[Red]\(#,##0\ &quot;$&quot;\)"/>
    <numFmt numFmtId="202" formatCode="&quot;$&quot;###,0&quot;.&quot;00_);[Red]\(&quot;$&quot;###,0&quot;.&quot;00\)"/>
    <numFmt numFmtId="203" formatCode="&quot;\&quot;#,##0;[Red]\-&quot;\&quot;#,##0"/>
    <numFmt numFmtId="204" formatCode="&quot;\&quot;#,##0.00;\-&quot;\&quot;#,##0.00"/>
    <numFmt numFmtId="205" formatCode="#,##0.00\ &quot;F&quot;;[Red]\-#,##0.00\ &quot;F&quot;"/>
    <numFmt numFmtId="206" formatCode="#,##0\ &quot;F&quot;;\-#,##0\ &quot;F&quot;"/>
    <numFmt numFmtId="207" formatCode="#,##0\ &quot;F&quot;;[Red]\-#,##0\ &quot;F&quot;"/>
    <numFmt numFmtId="208" formatCode="_-* #,##0\ &quot;F&quot;_-;\-* #,##0\ &quot;F&quot;_-;_-* &quot;-&quot;\ &quot;F&quot;_-;_-@_-"/>
    <numFmt numFmtId="209" formatCode="#,##0.00\ &quot;F&quot;;\-#,##0.00\ &quot;F&quot;"/>
    <numFmt numFmtId="210" formatCode="_-&quot;$&quot;* #,##0_-;\-&quot;$&quot;* #,##0_-;_-&quot;$&quot;* &quot;-&quot;_-;_-@_-"/>
  </numFmts>
  <fonts count="22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3"/>
      <name val="Times New Roman"/>
      <family val="1"/>
    </font>
    <font>
      <b/>
      <sz val="13"/>
      <name val="Times New Roman"/>
      <family val="1"/>
    </font>
    <font>
      <i/>
      <sz val="13"/>
      <name val="Times New Roman"/>
      <family val="1"/>
    </font>
    <font>
      <sz val="10"/>
      <name val="Arial"/>
      <family val="2"/>
    </font>
    <font>
      <b/>
      <i/>
      <sz val="13"/>
      <name val="Times New Roman"/>
      <family val="1"/>
    </font>
    <font>
      <sz val="10"/>
      <name val="VNI-Times"/>
    </font>
    <font>
      <sz val="12"/>
      <name val="Times New Roman"/>
      <family val="1"/>
    </font>
    <font>
      <sz val="10"/>
      <name val="Arial"/>
      <family val="2"/>
    </font>
    <font>
      <b/>
      <u/>
      <sz val="13"/>
      <name val="Times New Roman"/>
      <family val="1"/>
    </font>
    <font>
      <u/>
      <sz val="13"/>
      <name val="Times New Roman"/>
      <family val="1"/>
    </font>
    <font>
      <sz val="11"/>
      <color theme="1"/>
      <name val="Times New Roman"/>
      <family val="1"/>
    </font>
    <font>
      <b/>
      <sz val="14"/>
      <color theme="1"/>
      <name val="Times New Roman"/>
      <family val="1"/>
    </font>
    <font>
      <i/>
      <sz val="14"/>
      <color theme="1"/>
      <name val="Times New Roman"/>
      <family val="1"/>
    </font>
    <font>
      <i/>
      <sz val="14"/>
      <color rgb="FF0000FF"/>
      <name val="Times New Roman"/>
      <family val="1"/>
    </font>
    <font>
      <b/>
      <sz val="11"/>
      <color theme="1"/>
      <name val="Times New Roman"/>
      <family val="1"/>
    </font>
    <font>
      <b/>
      <sz val="8"/>
      <color theme="1"/>
      <name val="Times New Roman"/>
      <family val="1"/>
    </font>
    <font>
      <sz val="8"/>
      <color theme="1"/>
      <name val="Times New Roman"/>
      <family val="1"/>
    </font>
    <font>
      <b/>
      <u/>
      <sz val="11"/>
      <color rgb="FFFF0000"/>
      <name val="Times New Roman"/>
      <family val="1"/>
    </font>
    <font>
      <b/>
      <sz val="11"/>
      <color rgb="FFC00000"/>
      <name val="Times New Roman"/>
      <family val="1"/>
    </font>
    <font>
      <b/>
      <sz val="11"/>
      <color rgb="FF00B050"/>
      <name val="Times New Roman"/>
      <family val="1"/>
    </font>
    <font>
      <sz val="11"/>
      <name val="Times New Roman"/>
      <family val="1"/>
    </font>
    <font>
      <sz val="11"/>
      <color rgb="FF0000FF"/>
      <name val="Times New Roman"/>
      <family val="1"/>
    </font>
    <font>
      <sz val="11"/>
      <color rgb="FF006600"/>
      <name val="Times New Roman"/>
      <family val="1"/>
    </font>
    <font>
      <sz val="11"/>
      <color rgb="FFFF00FF"/>
      <name val="Times New Roman"/>
      <family val="1"/>
    </font>
    <font>
      <b/>
      <sz val="11"/>
      <color rgb="FF00B0F0"/>
      <name val="Times New Roman"/>
      <family val="1"/>
    </font>
    <font>
      <b/>
      <i/>
      <sz val="11"/>
      <name val="Times New Roman"/>
      <family val="1"/>
    </font>
    <font>
      <b/>
      <i/>
      <sz val="12"/>
      <name val="Times New Roman"/>
      <family val="1"/>
    </font>
    <font>
      <b/>
      <i/>
      <sz val="11"/>
      <color rgb="FFC00000"/>
      <name val="Times New Roman"/>
      <family val="1"/>
    </font>
    <font>
      <b/>
      <i/>
      <sz val="11"/>
      <color rgb="FF0000FF"/>
      <name val="Times New Roman"/>
      <family val="1"/>
    </font>
    <font>
      <b/>
      <u/>
      <sz val="11"/>
      <color rgb="FFFF00FF"/>
      <name val="Times New Roman"/>
      <family val="1"/>
    </font>
    <font>
      <b/>
      <u/>
      <sz val="11"/>
      <color rgb="FF00B050"/>
      <name val="Times New Roman"/>
      <family val="1"/>
    </font>
    <font>
      <b/>
      <i/>
      <sz val="11"/>
      <color theme="1"/>
      <name val="Times New Roman"/>
      <family val="1"/>
    </font>
    <font>
      <b/>
      <sz val="11"/>
      <color rgb="FF0000FF"/>
      <name val="Times New Roman"/>
      <family val="1"/>
    </font>
    <font>
      <i/>
      <sz val="11"/>
      <name val="Times New Roman"/>
      <family val="1"/>
    </font>
    <font>
      <i/>
      <sz val="12"/>
      <color rgb="FF00B050"/>
      <name val="Times New Roman"/>
      <family val="1"/>
    </font>
    <font>
      <i/>
      <sz val="11"/>
      <color rgb="FF0000FF"/>
      <name val="Times New Roman"/>
      <family val="1"/>
    </font>
    <font>
      <i/>
      <sz val="11"/>
      <color rgb="FF006600"/>
      <name val="Times New Roman"/>
      <family val="1"/>
    </font>
    <font>
      <i/>
      <sz val="11"/>
      <color rgb="FFFF00FF"/>
      <name val="Times New Roman"/>
      <family val="1"/>
    </font>
    <font>
      <b/>
      <sz val="11"/>
      <color rgb="FF0070C0"/>
      <name val="Times New Roman"/>
      <family val="1"/>
    </font>
    <font>
      <i/>
      <sz val="11"/>
      <color theme="1"/>
      <name val="Times New Roman"/>
      <family val="1"/>
    </font>
    <font>
      <b/>
      <sz val="9"/>
      <color indexed="81"/>
      <name val="Tahoma"/>
      <family val="2"/>
    </font>
    <font>
      <sz val="9"/>
      <color indexed="81"/>
      <name val="Tahoma"/>
      <family val="2"/>
    </font>
    <font>
      <i/>
      <u/>
      <sz val="13"/>
      <name val="Times New Roman"/>
      <family val="1"/>
    </font>
    <font>
      <b/>
      <sz val="14"/>
      <name val="Times New Roman"/>
      <family val="1"/>
    </font>
    <font>
      <sz val="13"/>
      <color rgb="FFFF0000"/>
      <name val="Times New Roman"/>
      <family val="1"/>
    </font>
    <font>
      <i/>
      <sz val="13"/>
      <color rgb="FFFF0000"/>
      <name val="Times New Roman"/>
      <family val="1"/>
    </font>
    <font>
      <b/>
      <sz val="13"/>
      <color rgb="FFFF0000"/>
      <name val="Times New Roman"/>
      <family val="1"/>
    </font>
    <font>
      <b/>
      <u/>
      <sz val="13"/>
      <color rgb="FFFF0000"/>
      <name val="Times New Roman"/>
      <family val="1"/>
    </font>
    <font>
      <i/>
      <u/>
      <sz val="13"/>
      <color rgb="FFFF0000"/>
      <name val="Times New Roman"/>
      <family val="1"/>
    </font>
    <font>
      <u/>
      <sz val="13"/>
      <color rgb="FFFF0000"/>
      <name val="Times New Roman"/>
      <family val="1"/>
    </font>
    <font>
      <b/>
      <i/>
      <sz val="13"/>
      <color rgb="FFFF0000"/>
      <name val="Times New Roman"/>
      <family val="1"/>
    </font>
    <font>
      <sz val="13"/>
      <name val=".VnTime"/>
      <family val="2"/>
    </font>
    <font>
      <sz val="14"/>
      <name val="Times New Roman"/>
      <family val="1"/>
    </font>
    <font>
      <sz val="10"/>
      <name val="Arial"/>
      <family val="2"/>
    </font>
    <font>
      <b/>
      <sz val="13"/>
      <color rgb="FFC00000"/>
      <name val="Times New Roman"/>
      <family val="1"/>
    </font>
    <font>
      <b/>
      <sz val="13"/>
      <color rgb="FF0070C0"/>
      <name val="Times New Roman"/>
      <family val="1"/>
    </font>
    <font>
      <b/>
      <sz val="13"/>
      <color rgb="FF7030A0"/>
      <name val="Times New Roman"/>
      <family val="1"/>
    </font>
    <font>
      <b/>
      <i/>
      <sz val="13"/>
      <color rgb="FF00660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VNI-Times"/>
    </font>
    <font>
      <b/>
      <sz val="12"/>
      <name val="VNI-Times"/>
    </font>
    <font>
      <sz val="14"/>
      <name val="??"/>
      <family val="3"/>
      <charset val="129"/>
    </font>
    <font>
      <sz val="14"/>
      <name val="뼻뮝"/>
      <family val="3"/>
      <charset val="129"/>
    </font>
    <font>
      <sz val="12"/>
      <name val="뼻뮝"/>
      <family val="1"/>
      <charset val="129"/>
    </font>
    <font>
      <sz val="12"/>
      <name val="바탕체"/>
      <family val="1"/>
      <charset val="129"/>
    </font>
    <font>
      <sz val="10"/>
      <name val="굴림체"/>
      <family val="3"/>
      <charset val="129"/>
    </font>
    <font>
      <sz val="10"/>
      <name val="Arial"/>
      <family val="2"/>
      <charset val="204"/>
    </font>
    <font>
      <sz val="14"/>
      <name val=".VnTime"/>
      <family val="2"/>
    </font>
    <font>
      <sz val="12"/>
      <name val=".VnTime"/>
      <family val="2"/>
    </font>
    <font>
      <sz val="10"/>
      <name val="Arial"/>
      <family val="2"/>
      <charset val="163"/>
    </font>
    <font>
      <sz val="10"/>
      <color indexed="8"/>
      <name val="Arial"/>
      <family val="2"/>
    </font>
    <font>
      <sz val="10"/>
      <name val="Times New Roman"/>
      <family val="1"/>
    </font>
    <font>
      <sz val="11"/>
      <color indexed="8"/>
      <name val="Calibri"/>
      <family val="2"/>
      <charset val="163"/>
    </font>
    <font>
      <sz val="12"/>
      <name val=".VnArial Narrow"/>
      <family val="2"/>
    </font>
    <font>
      <b/>
      <sz val="12"/>
      <name val=".VnTime"/>
      <family val="2"/>
    </font>
    <font>
      <sz val="10"/>
      <name val="?? ??"/>
      <family val="1"/>
      <charset val="136"/>
    </font>
    <font>
      <sz val="12"/>
      <name val="????"/>
      <family val="1"/>
      <charset val="136"/>
    </font>
    <font>
      <sz val="12"/>
      <name val="Courier"/>
      <family val="3"/>
    </font>
    <font>
      <sz val="12"/>
      <name val="|??¢¥¢¬¨Ï"/>
      <family val="1"/>
      <charset val="129"/>
    </font>
    <font>
      <sz val="10"/>
      <name val="MS Sans Serif"/>
      <family val="2"/>
    </font>
    <font>
      <sz val="11"/>
      <name val="VNI-Aptima"/>
    </font>
    <font>
      <sz val="12"/>
      <name val="???"/>
    </font>
    <font>
      <sz val="14"/>
      <name val="VnTime"/>
    </font>
    <font>
      <sz val="12"/>
      <name val="¹ÙÅÁÃ¼"/>
      <family val="1"/>
    </font>
    <font>
      <i/>
      <sz val="12"/>
      <color indexed="8"/>
      <name val=".VnBook-AntiquaH"/>
      <family val="2"/>
    </font>
    <font>
      <b/>
      <sz val="12"/>
      <color indexed="8"/>
      <name val=".VnBook-Antiqua"/>
      <family val="2"/>
    </font>
    <font>
      <i/>
      <sz val="12"/>
      <color indexed="8"/>
      <name val=".VnBook-Antiqua"/>
      <family val="2"/>
    </font>
    <font>
      <sz val="12"/>
      <name val="±¼¸²Ã¼"/>
      <family val="3"/>
      <charset val="129"/>
    </font>
    <font>
      <sz val="12"/>
      <name val="¹UAAA¼"/>
      <family val="3"/>
      <charset val="129"/>
    </font>
    <font>
      <sz val="11"/>
      <name val="±¼¸²Ã¼"/>
      <family val="3"/>
      <charset val="129"/>
    </font>
    <font>
      <sz val="8"/>
      <name val="Times New Roman"/>
      <family val="1"/>
    </font>
    <font>
      <sz val="12"/>
      <name val="Tms Rmn"/>
    </font>
    <font>
      <sz val="11"/>
      <name val="µ¸¿ò"/>
      <charset val="129"/>
    </font>
    <font>
      <sz val="12"/>
      <name val="µ¸¿òÃ¼"/>
      <family val="3"/>
      <charset val="129"/>
    </font>
    <font>
      <sz val="10"/>
      <name val="±¼¸²A¼"/>
      <family val="3"/>
      <charset val="129"/>
    </font>
    <font>
      <sz val="10"/>
      <name val="Helv"/>
    </font>
    <font>
      <b/>
      <sz val="10"/>
      <name val="Helv"/>
    </font>
    <font>
      <sz val="10"/>
      <name val=".VnArial"/>
      <family val="2"/>
    </font>
    <font>
      <sz val="11"/>
      <name val="Tms Rmn"/>
    </font>
    <font>
      <sz val="10"/>
      <name val="MS Serif"/>
      <family val="1"/>
    </font>
    <font>
      <sz val="10"/>
      <name val="Arial CE"/>
      <charset val="238"/>
    </font>
    <font>
      <sz val="10"/>
      <color indexed="16"/>
      <name val="MS Serif"/>
      <family val="1"/>
    </font>
    <font>
      <sz val="8"/>
      <name val="Arial"/>
      <family val="2"/>
      <charset val="163"/>
    </font>
    <font>
      <b/>
      <u/>
      <sz val="13"/>
      <name val="VnTime"/>
    </font>
    <font>
      <b/>
      <sz val="12"/>
      <color indexed="9"/>
      <name val="Tms Rmn"/>
    </font>
    <font>
      <b/>
      <sz val="12"/>
      <name val="Helv"/>
    </font>
    <font>
      <b/>
      <sz val="12"/>
      <name val="Arial"/>
      <family val="2"/>
    </font>
    <font>
      <b/>
      <sz val="18"/>
      <name val="Arial"/>
      <family val="2"/>
    </font>
    <font>
      <b/>
      <sz val="8"/>
      <name val="MS Sans Serif"/>
      <family val="2"/>
    </font>
    <font>
      <b/>
      <sz val="10"/>
      <name val=".VnTime"/>
      <family val="2"/>
    </font>
    <font>
      <b/>
      <sz val="14"/>
      <name val=".VnTimeH"/>
      <family val="2"/>
    </font>
    <font>
      <b/>
      <sz val="11"/>
      <name val="Helv"/>
    </font>
    <font>
      <sz val="10"/>
      <name val=".VnTime"/>
      <family val="2"/>
    </font>
    <font>
      <sz val="12"/>
      <name val="Arial"/>
      <family val="2"/>
    </font>
    <font>
      <sz val="7"/>
      <name val="Small Fonts"/>
      <family val="2"/>
    </font>
    <font>
      <b/>
      <sz val="11"/>
      <name val="Arial"/>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8"/>
      <name val="MS Sans Serif"/>
      <family val="2"/>
    </font>
    <font>
      <sz val="8"/>
      <name val="Tms Rmn"/>
    </font>
    <font>
      <b/>
      <sz val="8"/>
      <color indexed="8"/>
      <name val="Helv"/>
    </font>
    <font>
      <b/>
      <sz val="13"/>
      <color indexed="8"/>
      <name val=".VnTimeH"/>
      <family val="2"/>
    </font>
    <font>
      <sz val="14"/>
      <name val="VnTime"/>
      <family val="2"/>
    </font>
    <font>
      <b/>
      <sz val="8"/>
      <name val="VN Helvetica"/>
    </font>
    <font>
      <b/>
      <sz val="10"/>
      <name val="VN AvantGBook"/>
    </font>
    <font>
      <b/>
      <sz val="16"/>
      <name val=".VnTime"/>
      <family val="2"/>
    </font>
    <font>
      <sz val="9"/>
      <name val=".VnTime"/>
      <family val="2"/>
    </font>
    <font>
      <sz val="14"/>
      <name val=".VnArial"/>
      <family val="2"/>
    </font>
    <font>
      <sz val="10"/>
      <name val=" "/>
      <family val="1"/>
      <charset val="136"/>
    </font>
    <font>
      <sz val="12"/>
      <name val="바탕체"/>
      <family val="3"/>
    </font>
    <font>
      <sz val="9"/>
      <name val="Arial"/>
      <family val="2"/>
    </font>
    <font>
      <sz val="11"/>
      <color theme="1"/>
      <name val="Calibri"/>
      <family val="2"/>
      <charset val="163"/>
      <scheme val="minor"/>
    </font>
    <font>
      <sz val="11"/>
      <color theme="1"/>
      <name val="Times New Roman"/>
      <family val="2"/>
      <charset val="163"/>
    </font>
    <font>
      <u/>
      <sz val="11"/>
      <color theme="10"/>
      <name val="times new roman"/>
      <family val="2"/>
      <charset val="163"/>
    </font>
    <font>
      <sz val="11"/>
      <color theme="1"/>
      <name val="Calibri"/>
      <family val="2"/>
    </font>
    <font>
      <sz val="14"/>
      <color theme="1"/>
      <name val="Times New Roman"/>
      <family val="2"/>
      <charset val="163"/>
    </font>
    <font>
      <b/>
      <sz val="13"/>
      <color theme="4"/>
      <name val="Times New Roman"/>
      <family val="1"/>
    </font>
    <font>
      <b/>
      <sz val="14"/>
      <color theme="4"/>
      <name val="Times New Roman"/>
      <family val="1"/>
    </font>
    <font>
      <b/>
      <sz val="11"/>
      <name val="Times New Roman"/>
      <family val="1"/>
    </font>
    <font>
      <sz val="11"/>
      <color indexed="9"/>
      <name val="Arial"/>
      <family val="2"/>
    </font>
    <font>
      <b/>
      <sz val="12"/>
      <name val="Times New Roman"/>
      <family val="1"/>
    </font>
    <font>
      <b/>
      <sz val="13"/>
      <color theme="0"/>
      <name val="Times New Roman"/>
      <family val="1"/>
    </font>
    <font>
      <b/>
      <sz val="14"/>
      <color theme="0"/>
      <name val="Times New Roman"/>
      <family val="1"/>
    </font>
    <font>
      <b/>
      <i/>
      <sz val="12"/>
      <color theme="0"/>
      <name val="Times New Roman"/>
      <family val="1"/>
    </font>
    <font>
      <i/>
      <sz val="12"/>
      <name val="Times New Roman"/>
      <family val="1"/>
    </font>
    <font>
      <i/>
      <sz val="14"/>
      <color theme="0"/>
      <name val="Times New Roman"/>
      <family val="1"/>
    </font>
    <font>
      <i/>
      <sz val="14"/>
      <name val="Times New Roman"/>
      <family val="1"/>
    </font>
    <font>
      <b/>
      <sz val="12"/>
      <color theme="0"/>
      <name val="Times New Roman"/>
      <family val="1"/>
    </font>
    <font>
      <sz val="12"/>
      <color theme="0"/>
      <name val="Times New Roman"/>
      <family val="1"/>
    </font>
    <font>
      <sz val="13"/>
      <color theme="0"/>
      <name val="Times New Roman"/>
      <family val="1"/>
    </font>
    <font>
      <i/>
      <sz val="12"/>
      <color theme="0"/>
      <name val="Times New Roman"/>
      <family val="1"/>
    </font>
    <font>
      <i/>
      <sz val="11"/>
      <color theme="0"/>
      <name val="Times New Roman"/>
      <family val="1"/>
    </font>
    <font>
      <sz val="14"/>
      <color theme="0"/>
      <name val="Times New Roman"/>
      <family val="1"/>
    </font>
    <font>
      <i/>
      <sz val="13"/>
      <color theme="0"/>
      <name val="Times New Roman"/>
      <family val="1"/>
    </font>
    <font>
      <sz val="11"/>
      <color theme="0"/>
      <name val="Times New Roman"/>
      <family val="1"/>
    </font>
    <font>
      <b/>
      <sz val="13"/>
      <color theme="6"/>
      <name val="Times New Roman"/>
      <family val="1"/>
    </font>
    <font>
      <b/>
      <i/>
      <sz val="13"/>
      <color theme="6"/>
      <name val="Times New Roman"/>
      <family val="1"/>
    </font>
    <font>
      <sz val="8"/>
      <color rgb="FF000000"/>
      <name val="TimesNewRomanPSMT"/>
    </font>
    <font>
      <b/>
      <i/>
      <sz val="14"/>
      <name val="Times New Roman"/>
      <family val="1"/>
    </font>
    <font>
      <b/>
      <sz val="11"/>
      <color theme="0"/>
      <name val="Times New Roman"/>
      <family val="1"/>
    </font>
    <font>
      <sz val="11"/>
      <color rgb="FF000000"/>
      <name val="TimesNewRomanPSMT"/>
    </font>
    <font>
      <sz val="12"/>
      <color rgb="FF000000"/>
      <name val="TimesNewRomanPSMT"/>
    </font>
    <font>
      <sz val="14"/>
      <color rgb="FF000000"/>
      <name val="TimesNewRomanPSMT"/>
    </font>
    <font>
      <b/>
      <i/>
      <sz val="14"/>
      <name val="Times New Roman"/>
      <family val="1"/>
      <charset val="163"/>
    </font>
    <font>
      <b/>
      <sz val="14"/>
      <name val="Times New Roman"/>
      <family val="1"/>
      <charset val="163"/>
    </font>
    <font>
      <b/>
      <sz val="13"/>
      <name val="Times New Roman"/>
      <family val="1"/>
      <charset val="163"/>
    </font>
    <font>
      <b/>
      <sz val="11"/>
      <name val="Times New Roman"/>
      <family val="1"/>
      <charset val="163"/>
    </font>
    <font>
      <sz val="13"/>
      <color theme="1"/>
      <name val="Times New Roman"/>
      <family val="1"/>
    </font>
    <font>
      <i/>
      <sz val="14"/>
      <color rgb="FFFF0000"/>
      <name val="Times New Roman"/>
      <family val="1"/>
    </font>
    <font>
      <sz val="12"/>
      <color rgb="FF0000FF"/>
      <name val="Times New Roman"/>
      <family val="1"/>
    </font>
    <font>
      <vertAlign val="superscript"/>
      <sz val="13"/>
      <name val="Times New Roman"/>
      <family val="1"/>
    </font>
    <font>
      <i/>
      <sz val="12"/>
      <color rgb="FFFF0000"/>
      <name val="Times New Roman"/>
      <family val="1"/>
    </font>
    <font>
      <i/>
      <sz val="11"/>
      <color rgb="FFFF0000"/>
      <name val="Times New Roman"/>
      <family val="1"/>
    </font>
    <font>
      <sz val="12"/>
      <name val="Times New Roman"/>
      <family val="1"/>
      <charset val="163"/>
    </font>
    <font>
      <sz val="11"/>
      <color rgb="FFFF0000"/>
      <name val="Times New Roman"/>
      <family val="1"/>
    </font>
    <font>
      <sz val="11"/>
      <name val="Times New Roman"/>
      <family val="1"/>
      <charset val="163"/>
    </font>
    <font>
      <b/>
      <i/>
      <sz val="13"/>
      <name val="Times New Roman"/>
      <family val="1"/>
      <charset val="163"/>
    </font>
    <font>
      <b/>
      <sz val="13"/>
      <color theme="0"/>
      <name val="Times New Roman"/>
      <family val="1"/>
      <charset val="163"/>
    </font>
    <font>
      <i/>
      <sz val="14"/>
      <name val="Times New Roman"/>
      <family val="1"/>
      <charset val="163"/>
    </font>
    <font>
      <i/>
      <sz val="13"/>
      <name val="Times New Roman"/>
      <family val="1"/>
      <charset val="163"/>
    </font>
    <font>
      <i/>
      <sz val="11"/>
      <name val="Times New Roman"/>
      <family val="1"/>
      <charset val="163"/>
    </font>
    <font>
      <i/>
      <sz val="12"/>
      <name val="Times New Roman"/>
      <family val="1"/>
      <charset val="163"/>
    </font>
    <font>
      <i/>
      <sz val="13"/>
      <color rgb="FFFF0000"/>
      <name val="Times New Roman"/>
      <family val="1"/>
      <charset val="163"/>
    </font>
    <font>
      <sz val="14"/>
      <name val="Times New Roman"/>
      <family val="1"/>
      <charset val="163"/>
    </font>
    <font>
      <sz val="13"/>
      <name val="Times New Roman"/>
      <family val="1"/>
      <charset val="163"/>
    </font>
    <font>
      <b/>
      <i/>
      <sz val="14"/>
      <color rgb="FFFF0000"/>
      <name val="Times New Roman"/>
      <family val="1"/>
      <charset val="163"/>
    </font>
    <font>
      <i/>
      <sz val="14"/>
      <color rgb="FFFF0000"/>
      <name val="Times New Roman"/>
      <family val="1"/>
      <charset val="163"/>
    </font>
    <font>
      <i/>
      <sz val="11"/>
      <color rgb="FFFF0000"/>
      <name val="Times New Roman"/>
      <family val="1"/>
      <charset val="163"/>
    </font>
    <font>
      <i/>
      <sz val="13"/>
      <color theme="1"/>
      <name val="Times New Roman"/>
      <family val="1"/>
      <charset val="163"/>
    </font>
    <font>
      <i/>
      <sz val="13"/>
      <color theme="0"/>
      <name val="Times New Roman"/>
      <family val="1"/>
      <charset val="163"/>
    </font>
    <font>
      <sz val="13"/>
      <color theme="0"/>
      <name val="Times New Roman"/>
      <family val="1"/>
      <charset val="163"/>
    </font>
    <font>
      <b/>
      <i/>
      <sz val="11"/>
      <name val="Times New Roman"/>
      <family val="1"/>
      <charset val="163"/>
    </font>
    <font>
      <b/>
      <sz val="12"/>
      <name val="Times New Roman"/>
      <family val="1"/>
      <charset val="163"/>
    </font>
    <font>
      <b/>
      <sz val="13"/>
      <color rgb="FFFF0000"/>
      <name val="Times New Roman"/>
      <family val="1"/>
      <charset val="163"/>
    </font>
  </fonts>
  <fills count="61">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theme="9" tint="0.79998168889431442"/>
        <bgColor indexed="64"/>
      </patternFill>
    </fill>
    <fill>
      <patternFill patternType="solid">
        <fgColor indexed="2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9"/>
        <bgColor indexed="64"/>
      </patternFill>
    </fill>
    <fill>
      <patternFill patternType="solid">
        <fgColor indexed="65"/>
        <bgColor indexed="64"/>
      </patternFill>
    </fill>
    <fill>
      <patternFill patternType="solid">
        <fgColor indexed="40"/>
        <bgColor indexed="64"/>
      </patternFill>
    </fill>
    <fill>
      <patternFill patternType="solid">
        <fgColor indexed="43"/>
        <bgColor indexed="26"/>
      </patternFill>
    </fill>
    <fill>
      <patternFill patternType="solid">
        <fgColor indexed="26"/>
        <bgColor indexed="9"/>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9"/>
        <bgColor indexed="10"/>
      </patternFill>
    </fill>
    <fill>
      <patternFill patternType="solid">
        <fgColor theme="5"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9"/>
        <bgColor indexed="64"/>
      </patternFill>
    </fill>
    <fill>
      <patternFill patternType="solid">
        <fgColor theme="5"/>
        <bgColor indexed="64"/>
      </patternFill>
    </fill>
    <fill>
      <patternFill patternType="solid">
        <fgColor theme="7" tint="0.59999389629810485"/>
        <bgColor indexed="64"/>
      </patternFill>
    </fill>
    <fill>
      <patternFill patternType="solid">
        <fgColor theme="5" tint="0.39997558519241921"/>
        <bgColor indexed="64"/>
      </patternFill>
    </fill>
  </fills>
  <borders count="35">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8"/>
      </left>
      <right style="thin">
        <color indexed="8"/>
      </right>
      <top style="hair">
        <color indexed="8"/>
      </top>
      <bottom style="hair">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hair">
        <color indexed="64"/>
      </bottom>
      <diagonal/>
    </border>
    <border>
      <left/>
      <right style="thin">
        <color indexed="64"/>
      </right>
      <top/>
      <bottom style="hair">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bottom/>
      <diagonal/>
    </border>
    <border>
      <left style="thin">
        <color indexed="9"/>
      </left>
      <right style="thin">
        <color indexed="9"/>
      </right>
      <top style="thin">
        <color indexed="9"/>
      </top>
      <bottom style="thin">
        <color indexed="9"/>
      </bottom>
      <diagonal/>
    </border>
    <border>
      <left style="medium">
        <color rgb="FF000000"/>
      </left>
      <right style="medium">
        <color rgb="FF000000"/>
      </right>
      <top style="medium">
        <color rgb="FF000000"/>
      </top>
      <bottom style="medium">
        <color rgb="FF000000"/>
      </bottom>
      <diagonal/>
    </border>
  </borders>
  <cellStyleXfs count="1296">
    <xf numFmtId="0" fontId="0" fillId="0" borderId="0"/>
    <xf numFmtId="166" fontId="13" fillId="0" borderId="0" applyFont="0" applyFill="0" applyBorder="0" applyAlignment="0" applyProtection="0"/>
    <xf numFmtId="0" fontId="13" fillId="0" borderId="0"/>
    <xf numFmtId="0" fontId="13" fillId="0" borderId="0"/>
    <xf numFmtId="0" fontId="15" fillId="0" borderId="0"/>
    <xf numFmtId="43" fontId="17" fillId="0" borderId="0" applyFont="0" applyFill="0" applyBorder="0" applyAlignment="0" applyProtection="0"/>
    <xf numFmtId="0" fontId="61" fillId="0" borderId="0"/>
    <xf numFmtId="179" fontId="85" fillId="0" borderId="0" applyFont="0" applyFill="0" applyBorder="0" applyAlignment="0" applyProtection="0"/>
    <xf numFmtId="170" fontId="13" fillId="0" borderId="0" applyFont="0" applyFill="0" applyBorder="0" applyAlignment="0" applyProtection="0"/>
    <xf numFmtId="0" fontId="101" fillId="0" borderId="0" applyFont="0" applyFill="0" applyBorder="0" applyAlignment="0" applyProtection="0"/>
    <xf numFmtId="171" fontId="13" fillId="0" borderId="0" applyFont="0" applyFill="0" applyBorder="0" applyAlignment="0" applyProtection="0"/>
    <xf numFmtId="0" fontId="13" fillId="0" borderId="0" applyNumberFormat="0" applyFill="0" applyBorder="0" applyAlignment="0" applyProtection="0"/>
    <xf numFmtId="40" fontId="87" fillId="0" borderId="0" applyFont="0" applyFill="0" applyBorder="0" applyAlignment="0" applyProtection="0"/>
    <xf numFmtId="38" fontId="87" fillId="0" borderId="0" applyFont="0" applyFill="0" applyBorder="0" applyAlignment="0" applyProtection="0"/>
    <xf numFmtId="164" fontId="102" fillId="0" borderId="0" applyFont="0" applyFill="0" applyBorder="0" applyAlignment="0" applyProtection="0"/>
    <xf numFmtId="165" fontId="102" fillId="0" borderId="0" applyFont="0" applyFill="0" applyBorder="0" applyAlignment="0" applyProtection="0"/>
    <xf numFmtId="6" fontId="103" fillId="0" borderId="0" applyFont="0" applyFill="0" applyBorder="0" applyAlignment="0" applyProtection="0"/>
    <xf numFmtId="0" fontId="16" fillId="0" borderId="0">
      <alignment vertical="center"/>
    </xf>
    <xf numFmtId="0" fontId="13" fillId="0" borderId="0" applyFont="0" applyFill="0" applyBorder="0" applyAlignment="0" applyProtection="0"/>
    <xf numFmtId="0" fontId="13" fillId="0" borderId="0" applyFont="0" applyFill="0" applyBorder="0" applyAlignment="0" applyProtection="0"/>
    <xf numFmtId="0" fontId="104" fillId="0" borderId="0"/>
    <xf numFmtId="0" fontId="13" fillId="0" borderId="0" applyNumberForma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0" fontId="105" fillId="0" borderId="0"/>
    <xf numFmtId="0" fontId="105" fillId="0" borderId="0"/>
    <xf numFmtId="181" fontId="94" fillId="0" borderId="0" applyFont="0" applyFill="0" applyBorder="0" applyAlignment="0" applyProtection="0"/>
    <xf numFmtId="0" fontId="96" fillId="0" borderId="0">
      <alignment vertical="top"/>
    </xf>
    <xf numFmtId="0" fontId="96" fillId="0" borderId="0">
      <alignment vertical="top"/>
    </xf>
    <xf numFmtId="180" fontId="15" fillId="0" borderId="0" applyFont="0" applyFill="0" applyBorder="0" applyAlignment="0" applyProtection="0"/>
    <xf numFmtId="179" fontId="85" fillId="0" borderId="0" applyFont="0" applyFill="0" applyBorder="0" applyAlignment="0" applyProtection="0"/>
    <xf numFmtId="165" fontId="85" fillId="0" borderId="0" applyFont="0" applyFill="0" applyBorder="0" applyAlignment="0" applyProtection="0"/>
    <xf numFmtId="0" fontId="15" fillId="0" borderId="0" applyFont="0" applyFill="0" applyBorder="0" applyAlignment="0" applyProtection="0"/>
    <xf numFmtId="164" fontId="85" fillId="0" borderId="0" applyFont="0" applyFill="0" applyBorder="0" applyAlignment="0" applyProtection="0"/>
    <xf numFmtId="180" fontId="15" fillId="0" borderId="0" applyFont="0" applyFill="0" applyBorder="0" applyAlignment="0" applyProtection="0"/>
    <xf numFmtId="0" fontId="15" fillId="0" borderId="0" applyFont="0" applyFill="0" applyBorder="0" applyAlignment="0" applyProtection="0"/>
    <xf numFmtId="165" fontId="85" fillId="0" borderId="0" applyFont="0" applyFill="0" applyBorder="0" applyAlignment="0" applyProtection="0"/>
    <xf numFmtId="181" fontId="15" fillId="0" borderId="0" applyFont="0" applyFill="0" applyBorder="0" applyAlignment="0" applyProtection="0"/>
    <xf numFmtId="164" fontId="85" fillId="0" borderId="0" applyFont="0" applyFill="0" applyBorder="0" applyAlignment="0" applyProtection="0"/>
    <xf numFmtId="165" fontId="85" fillId="0" borderId="0" applyFont="0" applyFill="0" applyBorder="0" applyAlignment="0" applyProtection="0"/>
    <xf numFmtId="181" fontId="15" fillId="0" borderId="0" applyFont="0" applyFill="0" applyBorder="0" applyAlignment="0" applyProtection="0"/>
    <xf numFmtId="0" fontId="15" fillId="0" borderId="0" applyFont="0" applyFill="0" applyBorder="0" applyAlignment="0" applyProtection="0"/>
    <xf numFmtId="164" fontId="85" fillId="0" borderId="0" applyFont="0" applyFill="0" applyBorder="0" applyAlignment="0" applyProtection="0"/>
    <xf numFmtId="179" fontId="85" fillId="0" borderId="0" applyFont="0" applyFill="0" applyBorder="0" applyAlignment="0" applyProtection="0"/>
    <xf numFmtId="0" fontId="106" fillId="0" borderId="0"/>
    <xf numFmtId="164" fontId="85" fillId="0" borderId="0" applyFont="0" applyFill="0" applyBorder="0" applyAlignment="0" applyProtection="0"/>
    <xf numFmtId="181" fontId="15" fillId="0" borderId="0" applyFont="0" applyFill="0" applyBorder="0" applyAlignment="0" applyProtection="0"/>
    <xf numFmtId="0" fontId="15" fillId="0" borderId="0" applyFont="0" applyFill="0" applyBorder="0" applyAlignment="0" applyProtection="0"/>
    <xf numFmtId="179" fontId="85" fillId="0" borderId="0" applyFont="0" applyFill="0" applyBorder="0" applyAlignment="0" applyProtection="0"/>
    <xf numFmtId="165" fontId="85" fillId="0" borderId="0" applyFont="0" applyFill="0" applyBorder="0" applyAlignment="0" applyProtection="0"/>
    <xf numFmtId="182" fontId="107" fillId="0" borderId="0" applyFont="0" applyFill="0" applyBorder="0" applyAlignment="0" applyProtection="0"/>
    <xf numFmtId="1" fontId="108" fillId="0" borderId="3" applyBorder="0" applyAlignment="0">
      <alignment horizontal="center"/>
    </xf>
    <xf numFmtId="182" fontId="107" fillId="0" borderId="0" applyFont="0" applyFill="0" applyBorder="0" applyAlignment="0" applyProtection="0"/>
    <xf numFmtId="182" fontId="107" fillId="0" borderId="0" applyFont="0" applyFill="0" applyBorder="0" applyAlignment="0" applyProtection="0"/>
    <xf numFmtId="182" fontId="107" fillId="0" borderId="0" applyFont="0" applyFill="0" applyBorder="0" applyAlignment="0" applyProtection="0"/>
    <xf numFmtId="182" fontId="107" fillId="0" borderId="0" applyFont="0" applyFill="0" applyBorder="0" applyAlignment="0" applyProtection="0"/>
    <xf numFmtId="9" fontId="109" fillId="0" borderId="0" applyFont="0" applyFill="0" applyBorder="0" applyAlignment="0" applyProtection="0"/>
    <xf numFmtId="0" fontId="110" fillId="6" borderId="0"/>
    <xf numFmtId="0" fontId="94" fillId="0" borderId="0"/>
    <xf numFmtId="0" fontId="68" fillId="7" borderId="0" applyNumberFormat="0" applyBorder="0" applyAlignment="0" applyProtection="0"/>
    <xf numFmtId="0" fontId="68" fillId="8" borderId="0" applyNumberFormat="0" applyBorder="0" applyAlignment="0" applyProtection="0"/>
    <xf numFmtId="0" fontId="68" fillId="9" borderId="0" applyNumberFormat="0" applyBorder="0" applyAlignment="0" applyProtection="0"/>
    <xf numFmtId="0" fontId="68" fillId="10" borderId="0" applyNumberFormat="0" applyBorder="0" applyAlignment="0" applyProtection="0"/>
    <xf numFmtId="0" fontId="68" fillId="11" borderId="0" applyNumberFormat="0" applyBorder="0" applyAlignment="0" applyProtection="0"/>
    <xf numFmtId="0" fontId="68" fillId="12" borderId="0" applyNumberFormat="0" applyBorder="0" applyAlignment="0" applyProtection="0"/>
    <xf numFmtId="0" fontId="111" fillId="6" borderId="0"/>
    <xf numFmtId="0" fontId="112" fillId="0" borderId="0">
      <alignment wrapText="1"/>
    </xf>
    <xf numFmtId="0" fontId="68" fillId="13" borderId="0" applyNumberFormat="0" applyBorder="0" applyAlignment="0" applyProtection="0"/>
    <xf numFmtId="0" fontId="68" fillId="14" borderId="0" applyNumberFormat="0" applyBorder="0" applyAlignment="0" applyProtection="0"/>
    <xf numFmtId="0" fontId="68" fillId="15" borderId="0" applyNumberFormat="0" applyBorder="0" applyAlignment="0" applyProtection="0"/>
    <xf numFmtId="0" fontId="68" fillId="10" borderId="0" applyNumberFormat="0" applyBorder="0" applyAlignment="0" applyProtection="0"/>
    <xf numFmtId="0" fontId="68" fillId="13" borderId="0" applyNumberFormat="0" applyBorder="0" applyAlignment="0" applyProtection="0"/>
    <xf numFmtId="0" fontId="68" fillId="16" borderId="0" applyNumberFormat="0" applyBorder="0" applyAlignment="0" applyProtection="0"/>
    <xf numFmtId="0" fontId="69" fillId="17" borderId="0" applyNumberFormat="0" applyBorder="0" applyAlignment="0" applyProtection="0"/>
    <xf numFmtId="0" fontId="69" fillId="14" borderId="0" applyNumberFormat="0" applyBorder="0" applyAlignment="0" applyProtection="0"/>
    <xf numFmtId="0" fontId="69" fillId="15" borderId="0" applyNumberFormat="0" applyBorder="0" applyAlignment="0" applyProtection="0"/>
    <xf numFmtId="0" fontId="69" fillId="18" borderId="0" applyNumberFormat="0" applyBorder="0" applyAlignment="0" applyProtection="0"/>
    <xf numFmtId="0" fontId="69" fillId="19" borderId="0" applyNumberFormat="0" applyBorder="0" applyAlignment="0" applyProtection="0"/>
    <xf numFmtId="0" fontId="69" fillId="20" borderId="0" applyNumberFormat="0" applyBorder="0" applyAlignment="0" applyProtection="0"/>
    <xf numFmtId="0" fontId="69" fillId="21" borderId="0" applyNumberFormat="0" applyBorder="0" applyAlignment="0" applyProtection="0"/>
    <xf numFmtId="0" fontId="69" fillId="22" borderId="0" applyNumberFormat="0" applyBorder="0" applyAlignment="0" applyProtection="0"/>
    <xf numFmtId="0" fontId="69" fillId="23" borderId="0" applyNumberFormat="0" applyBorder="0" applyAlignment="0" applyProtection="0"/>
    <xf numFmtId="0" fontId="69" fillId="18" borderId="0" applyNumberFormat="0" applyBorder="0" applyAlignment="0" applyProtection="0"/>
    <xf numFmtId="0" fontId="69" fillId="19" borderId="0" applyNumberFormat="0" applyBorder="0" applyAlignment="0" applyProtection="0"/>
    <xf numFmtId="0" fontId="69" fillId="24" borderId="0" applyNumberFormat="0" applyBorder="0" applyAlignment="0" applyProtection="0"/>
    <xf numFmtId="182" fontId="113" fillId="0" borderId="0" applyFont="0" applyFill="0" applyBorder="0" applyAlignment="0" applyProtection="0"/>
    <xf numFmtId="0" fontId="114" fillId="0" borderId="0" applyFont="0" applyFill="0" applyBorder="0" applyAlignment="0" applyProtection="0"/>
    <xf numFmtId="182" fontId="115" fillId="0" borderId="0" applyFont="0" applyFill="0" applyBorder="0" applyAlignment="0" applyProtection="0"/>
    <xf numFmtId="183" fontId="113" fillId="0" borderId="0" applyFont="0" applyFill="0" applyBorder="0" applyAlignment="0" applyProtection="0"/>
    <xf numFmtId="0" fontId="114" fillId="0" borderId="0" applyFont="0" applyFill="0" applyBorder="0" applyAlignment="0" applyProtection="0"/>
    <xf numFmtId="183" fontId="115" fillId="0" borderId="0" applyFont="0" applyFill="0" applyBorder="0" applyAlignment="0" applyProtection="0"/>
    <xf numFmtId="0" fontId="116" fillId="0" borderId="0">
      <alignment horizontal="center" wrapText="1"/>
      <protection locked="0"/>
    </xf>
    <xf numFmtId="184" fontId="113" fillId="0" borderId="0" applyFont="0" applyFill="0" applyBorder="0" applyAlignment="0" applyProtection="0"/>
    <xf numFmtId="0" fontId="114" fillId="0" borderId="0" applyFont="0" applyFill="0" applyBorder="0" applyAlignment="0" applyProtection="0"/>
    <xf numFmtId="184" fontId="115" fillId="0" borderId="0" applyFont="0" applyFill="0" applyBorder="0" applyAlignment="0" applyProtection="0"/>
    <xf numFmtId="185" fontId="113" fillId="0" borderId="0" applyFont="0" applyFill="0" applyBorder="0" applyAlignment="0" applyProtection="0"/>
    <xf numFmtId="0" fontId="114" fillId="0" borderId="0" applyFont="0" applyFill="0" applyBorder="0" applyAlignment="0" applyProtection="0"/>
    <xf numFmtId="185" fontId="115" fillId="0" borderId="0" applyFont="0" applyFill="0" applyBorder="0" applyAlignment="0" applyProtection="0"/>
    <xf numFmtId="179" fontId="85" fillId="0" borderId="0" applyFont="0" applyFill="0" applyBorder="0" applyAlignment="0" applyProtection="0"/>
    <xf numFmtId="0" fontId="70" fillId="8" borderId="0" applyNumberFormat="0" applyBorder="0" applyAlignment="0" applyProtection="0"/>
    <xf numFmtId="0" fontId="117" fillId="0" borderId="0" applyNumberFormat="0" applyFill="0" applyBorder="0" applyAlignment="0" applyProtection="0"/>
    <xf numFmtId="0" fontId="114" fillId="0" borderId="0"/>
    <xf numFmtId="0" fontId="118" fillId="0" borderId="0"/>
    <xf numFmtId="0" fontId="114" fillId="0" borderId="0"/>
    <xf numFmtId="0" fontId="119" fillId="0" borderId="0"/>
    <xf numFmtId="0" fontId="120" fillId="0" borderId="0"/>
    <xf numFmtId="186" fontId="13" fillId="0" borderId="0" applyFill="0" applyBorder="0" applyAlignment="0"/>
    <xf numFmtId="176" fontId="121" fillId="0" borderId="0" applyFill="0" applyBorder="0" applyAlignment="0"/>
    <xf numFmtId="187" fontId="121" fillId="0" borderId="0" applyFill="0" applyBorder="0" applyAlignment="0"/>
    <xf numFmtId="188" fontId="121" fillId="0" borderId="0" applyFill="0" applyBorder="0" applyAlignment="0"/>
    <xf numFmtId="189" fontId="13" fillId="0" borderId="0" applyFill="0" applyBorder="0" applyAlignment="0"/>
    <xf numFmtId="190" fontId="121" fillId="0" borderId="0" applyFill="0" applyBorder="0" applyAlignment="0"/>
    <xf numFmtId="191" fontId="121" fillId="0" borderId="0" applyFill="0" applyBorder="0" applyAlignment="0"/>
    <xf numFmtId="176" fontId="121" fillId="0" borderId="0" applyFill="0" applyBorder="0" applyAlignment="0"/>
    <xf numFmtId="0" fontId="71" fillId="25" borderId="14" applyNumberFormat="0" applyAlignment="0" applyProtection="0"/>
    <xf numFmtId="0" fontId="122" fillId="0" borderId="0"/>
    <xf numFmtId="0" fontId="72" fillId="26" borderId="15" applyNumberFormat="0" applyAlignment="0" applyProtection="0"/>
    <xf numFmtId="168" fontId="123" fillId="0" borderId="0" applyFont="0" applyFill="0" applyBorder="0" applyAlignment="0" applyProtection="0"/>
    <xf numFmtId="192" fontId="124" fillId="0" borderId="0"/>
    <xf numFmtId="192" fontId="124" fillId="0" borderId="0"/>
    <xf numFmtId="192" fontId="124" fillId="0" borderId="0"/>
    <xf numFmtId="192" fontId="124" fillId="0" borderId="0"/>
    <xf numFmtId="192" fontId="124" fillId="0" borderId="0"/>
    <xf numFmtId="192" fontId="124" fillId="0" borderId="0"/>
    <xf numFmtId="192" fontId="124" fillId="0" borderId="0"/>
    <xf numFmtId="192" fontId="124" fillId="0" borderId="0"/>
    <xf numFmtId="190" fontId="121" fillId="0" borderId="0" applyFont="0" applyFill="0" applyBorder="0" applyAlignment="0" applyProtection="0"/>
    <xf numFmtId="177" fontId="68" fillId="0" borderId="0" applyFont="0" applyFill="0" applyBorder="0" applyAlignment="0" applyProtection="0"/>
    <xf numFmtId="166" fontId="94" fillId="0" borderId="0" applyFont="0" applyFill="0" applyBorder="0" applyAlignment="0" applyProtection="0"/>
    <xf numFmtId="43" fontId="13" fillId="0" borderId="0" applyFont="0" applyFill="0" applyBorder="0" applyAlignment="0" applyProtection="0"/>
    <xf numFmtId="43" fontId="85"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75" fontId="9" fillId="0" borderId="0" applyFont="0" applyFill="0" applyBorder="0" applyAlignment="0" applyProtection="0"/>
    <xf numFmtId="166" fontId="13" fillId="0" borderId="0" applyFont="0" applyFill="0" applyBorder="0" applyAlignment="0" applyProtection="0"/>
    <xf numFmtId="43" fontId="6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6" fontId="165" fillId="0" borderId="0" applyFont="0" applyFill="0" applyBorder="0" applyAlignment="0" applyProtection="0"/>
    <xf numFmtId="166" fontId="165" fillId="0" borderId="0" applyFont="0" applyFill="0" applyBorder="0" applyAlignment="0" applyProtection="0"/>
    <xf numFmtId="166" fontId="165" fillId="0" borderId="0" applyFont="0" applyFill="0" applyBorder="0" applyAlignment="0" applyProtection="0"/>
    <xf numFmtId="166" fontId="165" fillId="0" borderId="0" applyFont="0" applyFill="0" applyBorder="0" applyAlignment="0" applyProtection="0"/>
    <xf numFmtId="166" fontId="165" fillId="0" borderId="0" applyFont="0" applyFill="0" applyBorder="0" applyAlignment="0" applyProtection="0"/>
    <xf numFmtId="166" fontId="165"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6" fontId="85" fillId="0" borderId="0" applyFont="0" applyFill="0" applyBorder="0" applyAlignment="0" applyProtection="0"/>
    <xf numFmtId="166" fontId="13" fillId="0" borderId="0" applyFont="0" applyFill="0" applyBorder="0" applyAlignment="0" applyProtection="0"/>
    <xf numFmtId="43" fontId="95" fillId="0" borderId="0" applyFont="0" applyFill="0" applyBorder="0" applyAlignment="0" applyProtection="0"/>
    <xf numFmtId="43" fontId="85" fillId="0" borderId="0" applyFont="0" applyFill="0" applyBorder="0" applyAlignment="0" applyProtection="0"/>
    <xf numFmtId="43" fontId="166" fillId="0" borderId="0" applyFont="0" applyFill="0" applyBorder="0" applyAlignment="0" applyProtection="0"/>
    <xf numFmtId="193" fontId="105" fillId="0" borderId="0"/>
    <xf numFmtId="3" fontId="13" fillId="0" borderId="0" applyFont="0" applyFill="0" applyBorder="0" applyAlignment="0" applyProtection="0"/>
    <xf numFmtId="0" fontId="125" fillId="0" borderId="0" applyNumberFormat="0" applyAlignment="0">
      <alignment horizontal="left"/>
    </xf>
    <xf numFmtId="176" fontId="121" fillId="0" borderId="0" applyFont="0" applyFill="0" applyBorder="0" applyAlignment="0" applyProtection="0"/>
    <xf numFmtId="172" fontId="13" fillId="0" borderId="0" applyFont="0" applyFill="0" applyBorder="0" applyAlignment="0" applyProtection="0"/>
    <xf numFmtId="194" fontId="85" fillId="0" borderId="0" applyFont="0" applyFill="0" applyBorder="0" applyAlignment="0" applyProtection="0"/>
    <xf numFmtId="195" fontId="105" fillId="0" borderId="0"/>
    <xf numFmtId="0" fontId="13" fillId="0" borderId="0" applyFont="0" applyFill="0" applyBorder="0" applyAlignment="0" applyProtection="0"/>
    <xf numFmtId="14" fontId="96" fillId="0" borderId="0" applyFill="0" applyBorder="0" applyAlignment="0"/>
    <xf numFmtId="196" fontId="105" fillId="0" borderId="0" applyFont="0" applyFill="0" applyBorder="0" applyAlignment="0" applyProtection="0"/>
    <xf numFmtId="197" fontId="105" fillId="0" borderId="0" applyFont="0" applyFill="0" applyBorder="0" applyAlignment="0" applyProtection="0"/>
    <xf numFmtId="198" fontId="105" fillId="0" borderId="0"/>
    <xf numFmtId="0" fontId="85" fillId="0" borderId="16" applyNumberFormat="0" applyFont="0" applyAlignment="0"/>
    <xf numFmtId="0" fontId="86" fillId="0" borderId="16" applyNumberFormat="0" applyFont="0" applyAlignment="0"/>
    <xf numFmtId="164" fontId="126" fillId="0" borderId="0" applyFont="0" applyFill="0" applyBorder="0" applyAlignment="0" applyProtection="0"/>
    <xf numFmtId="165" fontId="126" fillId="0" borderId="0" applyFont="0" applyFill="0" applyBorder="0" applyAlignment="0" applyProtection="0"/>
    <xf numFmtId="164" fontId="126" fillId="0" borderId="0" applyFont="0" applyFill="0" applyBorder="0" applyAlignment="0" applyProtection="0"/>
    <xf numFmtId="41" fontId="126" fillId="0" borderId="0" applyFont="0" applyFill="0" applyBorder="0" applyAlignment="0" applyProtection="0"/>
    <xf numFmtId="164" fontId="126" fillId="0" borderId="0" applyFont="0" applyFill="0" applyBorder="0" applyAlignment="0" applyProtection="0"/>
    <xf numFmtId="164"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164" fontId="126" fillId="0" borderId="0" applyFont="0" applyFill="0" applyBorder="0" applyAlignment="0" applyProtection="0"/>
    <xf numFmtId="164" fontId="126" fillId="0" borderId="0" applyFont="0" applyFill="0" applyBorder="0" applyAlignment="0" applyProtection="0"/>
    <xf numFmtId="164"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169" fontId="126" fillId="0" borderId="0" applyFont="0" applyFill="0" applyBorder="0" applyAlignment="0" applyProtection="0"/>
    <xf numFmtId="169" fontId="126" fillId="0" borderId="0" applyFont="0" applyFill="0" applyBorder="0" applyAlignment="0" applyProtection="0"/>
    <xf numFmtId="41" fontId="126" fillId="0" borderId="0" applyFont="0" applyFill="0" applyBorder="0" applyAlignment="0" applyProtection="0"/>
    <xf numFmtId="165" fontId="126" fillId="0" borderId="0" applyFont="0" applyFill="0" applyBorder="0" applyAlignment="0" applyProtection="0"/>
    <xf numFmtId="43" fontId="126" fillId="0" borderId="0" applyFont="0" applyFill="0" applyBorder="0" applyAlignment="0" applyProtection="0"/>
    <xf numFmtId="165" fontId="126" fillId="0" borderId="0" applyFont="0" applyFill="0" applyBorder="0" applyAlignment="0" applyProtection="0"/>
    <xf numFmtId="165"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165" fontId="126" fillId="0" borderId="0" applyFont="0" applyFill="0" applyBorder="0" applyAlignment="0" applyProtection="0"/>
    <xf numFmtId="165" fontId="126" fillId="0" borderId="0" applyFont="0" applyFill="0" applyBorder="0" applyAlignment="0" applyProtection="0"/>
    <xf numFmtId="165"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166" fontId="126" fillId="0" borderId="0" applyFont="0" applyFill="0" applyBorder="0" applyAlignment="0" applyProtection="0"/>
    <xf numFmtId="166" fontId="126" fillId="0" borderId="0" applyFont="0" applyFill="0" applyBorder="0" applyAlignment="0" applyProtection="0"/>
    <xf numFmtId="43" fontId="126" fillId="0" borderId="0" applyFont="0" applyFill="0" applyBorder="0" applyAlignment="0" applyProtection="0"/>
    <xf numFmtId="190" fontId="121" fillId="0" borderId="0" applyFill="0" applyBorder="0" applyAlignment="0"/>
    <xf numFmtId="176" fontId="121" fillId="0" borderId="0" applyFill="0" applyBorder="0" applyAlignment="0"/>
    <xf numFmtId="190" fontId="121" fillId="0" borderId="0" applyFill="0" applyBorder="0" applyAlignment="0"/>
    <xf numFmtId="191" fontId="121" fillId="0" borderId="0" applyFill="0" applyBorder="0" applyAlignment="0"/>
    <xf numFmtId="176" fontId="121" fillId="0" borderId="0" applyFill="0" applyBorder="0" applyAlignment="0"/>
    <xf numFmtId="0" fontId="127" fillId="0" borderId="0" applyNumberFormat="0" applyAlignment="0">
      <alignment horizontal="left"/>
    </xf>
    <xf numFmtId="0" fontId="73" fillId="0" borderId="0" applyNumberFormat="0" applyFill="0" applyBorder="0" applyAlignment="0" applyProtection="0"/>
    <xf numFmtId="2" fontId="13" fillId="0" borderId="0" applyFont="0" applyFill="0" applyBorder="0" applyAlignment="0" applyProtection="0"/>
    <xf numFmtId="0" fontId="74" fillId="9" borderId="0" applyNumberFormat="0" applyBorder="0" applyAlignment="0" applyProtection="0"/>
    <xf numFmtId="38" fontId="128" fillId="27" borderId="0" applyNumberFormat="0" applyBorder="0" applyAlignment="0" applyProtection="0"/>
    <xf numFmtId="199" fontId="129" fillId="0" borderId="17" applyFont="0" applyFill="0" applyBorder="0" applyAlignment="0" applyProtection="0">
      <alignment horizontal="right"/>
    </xf>
    <xf numFmtId="0" fontId="130" fillId="28" borderId="0"/>
    <xf numFmtId="0" fontId="131" fillId="0" borderId="0">
      <alignment horizontal="left"/>
    </xf>
    <xf numFmtId="0" fontId="132" fillId="0" borderId="18" applyNumberFormat="0" applyAlignment="0" applyProtection="0">
      <alignment horizontal="left" vertical="center"/>
    </xf>
    <xf numFmtId="0" fontId="132" fillId="0" borderId="9">
      <alignment horizontal="left" vertical="center"/>
    </xf>
    <xf numFmtId="0" fontId="75" fillId="0" borderId="19" applyNumberFormat="0" applyFill="0" applyAlignment="0" applyProtection="0"/>
    <xf numFmtId="0" fontId="76" fillId="0" borderId="20" applyNumberFormat="0" applyFill="0" applyAlignment="0" applyProtection="0"/>
    <xf numFmtId="0" fontId="77" fillId="0" borderId="21" applyNumberFormat="0" applyFill="0" applyAlignment="0" applyProtection="0"/>
    <xf numFmtId="0" fontId="77" fillId="0" borderId="0" applyNumberFormat="0" applyFill="0" applyBorder="0" applyAlignment="0" applyProtection="0"/>
    <xf numFmtId="0" fontId="133" fillId="0" borderId="0" applyProtection="0"/>
    <xf numFmtId="0" fontId="132" fillId="0" borderId="0" applyProtection="0"/>
    <xf numFmtId="0" fontId="134" fillId="0" borderId="22">
      <alignment horizontal="center"/>
    </xf>
    <xf numFmtId="0" fontId="134" fillId="0" borderId="0">
      <alignment horizontal="center"/>
    </xf>
    <xf numFmtId="5" fontId="135" fillId="29" borderId="3" applyNumberFormat="0" applyAlignment="0">
      <alignment horizontal="left" vertical="top"/>
    </xf>
    <xf numFmtId="49" fontId="136" fillId="0" borderId="3">
      <alignment vertical="center"/>
    </xf>
    <xf numFmtId="0" fontId="167" fillId="0" borderId="0" applyNumberFormat="0" applyFill="0" applyBorder="0" applyAlignment="0" applyProtection="0"/>
    <xf numFmtId="181" fontId="15" fillId="0" borderId="0" applyFont="0" applyFill="0" applyBorder="0" applyAlignment="0" applyProtection="0"/>
    <xf numFmtId="0" fontId="78" fillId="12" borderId="14" applyNumberFormat="0" applyAlignment="0" applyProtection="0"/>
    <xf numFmtId="10" fontId="128" fillId="27" borderId="3" applyNumberFormat="0" applyBorder="0" applyAlignment="0" applyProtection="0"/>
    <xf numFmtId="0" fontId="94" fillId="0" borderId="0"/>
    <xf numFmtId="0" fontId="105" fillId="0" borderId="0"/>
    <xf numFmtId="190" fontId="121" fillId="0" borderId="0" applyFill="0" applyBorder="0" applyAlignment="0"/>
    <xf numFmtId="176" fontId="121" fillId="0" borderId="0" applyFill="0" applyBorder="0" applyAlignment="0"/>
    <xf numFmtId="190" fontId="121" fillId="0" borderId="0" applyFill="0" applyBorder="0" applyAlignment="0"/>
    <xf numFmtId="191" fontId="121" fillId="0" borderId="0" applyFill="0" applyBorder="0" applyAlignment="0"/>
    <xf numFmtId="176" fontId="121" fillId="0" borderId="0" applyFill="0" applyBorder="0" applyAlignment="0"/>
    <xf numFmtId="0" fontId="79" fillId="0" borderId="23" applyNumberFormat="0" applyFill="0" applyAlignment="0" applyProtection="0"/>
    <xf numFmtId="38" fontId="105" fillId="0" borderId="0" applyFont="0" applyFill="0" applyBorder="0" applyAlignment="0" applyProtection="0"/>
    <xf numFmtId="40" fontId="105"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0" fontId="137" fillId="0" borderId="22"/>
    <xf numFmtId="200" fontId="138" fillId="0" borderId="24"/>
    <xf numFmtId="201" fontId="105" fillId="0" borderId="0" applyFont="0" applyFill="0" applyBorder="0" applyAlignment="0" applyProtection="0"/>
    <xf numFmtId="202" fontId="105" fillId="0" borderId="0" applyFont="0" applyFill="0" applyBorder="0" applyAlignment="0" applyProtection="0"/>
    <xf numFmtId="203" fontId="13" fillId="0" borderId="0" applyFont="0" applyFill="0" applyBorder="0" applyAlignment="0" applyProtection="0"/>
    <xf numFmtId="204" fontId="13" fillId="0" borderId="0" applyFont="0" applyFill="0" applyBorder="0" applyAlignment="0" applyProtection="0"/>
    <xf numFmtId="0" fontId="139" fillId="0" borderId="0" applyNumberFormat="0" applyFont="0" applyFill="0" applyAlignment="0"/>
    <xf numFmtId="0" fontId="80" fillId="30" borderId="0" applyNumberFormat="0" applyBorder="0" applyAlignment="0" applyProtection="0"/>
    <xf numFmtId="0" fontId="97" fillId="0" borderId="0"/>
    <xf numFmtId="37" fontId="140" fillId="0" borderId="0"/>
    <xf numFmtId="0" fontId="95" fillId="0" borderId="0"/>
    <xf numFmtId="0" fontId="9" fillId="0" borderId="0"/>
    <xf numFmtId="0" fontId="9" fillId="0" borderId="0"/>
    <xf numFmtId="0" fontId="10" fillId="0" borderId="0"/>
    <xf numFmtId="0" fontId="85" fillId="0" borderId="0"/>
    <xf numFmtId="0" fontId="166" fillId="0" borderId="0"/>
    <xf numFmtId="0" fontId="9" fillId="0" borderId="0"/>
    <xf numFmtId="0" fontId="9" fillId="0" borderId="0"/>
    <xf numFmtId="0" fontId="63" fillId="0" borderId="0"/>
    <xf numFmtId="0" fontId="9" fillId="0" borderId="0"/>
    <xf numFmtId="0" fontId="9" fillId="0" borderId="0"/>
    <xf numFmtId="0" fontId="9" fillId="0" borderId="0"/>
    <xf numFmtId="0" fontId="9" fillId="0" borderId="0"/>
    <xf numFmtId="0" fontId="13" fillId="0" borderId="0"/>
    <xf numFmtId="0" fontId="94" fillId="0" borderId="0"/>
    <xf numFmtId="0" fontId="85" fillId="0" borderId="0"/>
    <xf numFmtId="0" fontId="13" fillId="0" borderId="0"/>
    <xf numFmtId="0" fontId="94" fillId="0" borderId="0"/>
    <xf numFmtId="0" fontId="93" fillId="0" borderId="0"/>
    <xf numFmtId="0" fontId="85" fillId="0" borderId="0"/>
    <xf numFmtId="0" fontId="168" fillId="0" borderId="0"/>
    <xf numFmtId="0" fontId="95" fillId="0" borderId="0"/>
    <xf numFmtId="0" fontId="94" fillId="0" borderId="0"/>
    <xf numFmtId="0" fontId="13" fillId="0" borderId="0"/>
    <xf numFmtId="0" fontId="13" fillId="0" borderId="0"/>
    <xf numFmtId="0" fontId="13" fillId="0" borderId="0"/>
    <xf numFmtId="0" fontId="13" fillId="0" borderId="0"/>
    <xf numFmtId="0" fontId="9" fillId="0" borderId="0"/>
    <xf numFmtId="0" fontId="95" fillId="0" borderId="0"/>
    <xf numFmtId="0" fontId="94" fillId="0" borderId="0"/>
    <xf numFmtId="0" fontId="9" fillId="0" borderId="0"/>
    <xf numFmtId="0" fontId="9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 fillId="0" borderId="0"/>
    <xf numFmtId="0" fontId="9" fillId="0" borderId="0"/>
    <xf numFmtId="0" fontId="169"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 fillId="0" borderId="0"/>
    <xf numFmtId="0" fontId="9" fillId="0" borderId="0"/>
    <xf numFmtId="0" fontId="98" fillId="0" borderId="0"/>
    <xf numFmtId="0" fontId="165" fillId="0" borderId="0"/>
    <xf numFmtId="0" fontId="92" fillId="0" borderId="0"/>
    <xf numFmtId="0" fontId="92" fillId="0" borderId="0"/>
    <xf numFmtId="0" fontId="13" fillId="0" borderId="0"/>
    <xf numFmtId="0" fontId="85" fillId="0" borderId="0"/>
    <xf numFmtId="0" fontId="13" fillId="0" borderId="0"/>
    <xf numFmtId="0" fontId="94" fillId="0" borderId="0"/>
    <xf numFmtId="0" fontId="165" fillId="0" borderId="0"/>
    <xf numFmtId="0" fontId="165" fillId="0" borderId="0"/>
    <xf numFmtId="0" fontId="165" fillId="0" borderId="0"/>
    <xf numFmtId="0" fontId="165" fillId="0" borderId="0"/>
    <xf numFmtId="0" fontId="165" fillId="0" borderId="0"/>
    <xf numFmtId="0" fontId="165" fillId="0" borderId="0"/>
    <xf numFmtId="0" fontId="165" fillId="0" borderId="0"/>
    <xf numFmtId="0" fontId="165" fillId="0" borderId="0"/>
    <xf numFmtId="0" fontId="165" fillId="0" borderId="0"/>
    <xf numFmtId="0" fontId="165" fillId="0" borderId="0"/>
    <xf numFmtId="0" fontId="165" fillId="0" borderId="0"/>
    <xf numFmtId="0" fontId="165" fillId="0" borderId="0"/>
    <xf numFmtId="0" fontId="99" fillId="0" borderId="0"/>
    <xf numFmtId="0" fontId="9" fillId="0" borderId="0"/>
    <xf numFmtId="0" fontId="9" fillId="0" borderId="0"/>
    <xf numFmtId="0" fontId="94" fillId="0" borderId="0"/>
    <xf numFmtId="0" fontId="126" fillId="0" borderId="0"/>
    <xf numFmtId="0" fontId="13" fillId="31" borderId="25" applyNumberFormat="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81" fillId="25" borderId="26" applyNumberFormat="0" applyAlignment="0" applyProtection="0"/>
    <xf numFmtId="14" fontId="116" fillId="0" borderId="0">
      <alignment horizontal="center" wrapText="1"/>
      <protection locked="0"/>
    </xf>
    <xf numFmtId="189" fontId="13" fillId="0" borderId="0" applyFont="0" applyFill="0" applyBorder="0" applyAlignment="0" applyProtection="0"/>
    <xf numFmtId="178" fontId="13" fillId="0" borderId="0" applyFont="0" applyFill="0" applyBorder="0" applyAlignment="0" applyProtection="0"/>
    <xf numFmtId="10" fontId="95" fillId="0" borderId="0" applyFont="0" applyFill="0" applyBorder="0" applyAlignment="0" applyProtection="0"/>
    <xf numFmtId="9" fontId="13" fillId="0" borderId="0" applyFont="0" applyFill="0" applyBorder="0" applyAlignment="0" applyProtection="0"/>
    <xf numFmtId="9" fontId="85" fillId="0" borderId="0" applyFont="0" applyFill="0" applyBorder="0" applyAlignment="0" applyProtection="0"/>
    <xf numFmtId="9" fontId="99" fillId="0" borderId="0" applyFont="0" applyFill="0" applyBorder="0" applyAlignment="0" applyProtection="0"/>
    <xf numFmtId="9" fontId="166" fillId="0" borderId="0" applyFont="0" applyFill="0" applyBorder="0" applyAlignment="0" applyProtection="0"/>
    <xf numFmtId="9" fontId="105" fillId="0" borderId="27" applyNumberFormat="0" applyBorder="0"/>
    <xf numFmtId="190" fontId="121" fillId="0" borderId="0" applyFill="0" applyBorder="0" applyAlignment="0"/>
    <xf numFmtId="176" fontId="121" fillId="0" borderId="0" applyFill="0" applyBorder="0" applyAlignment="0"/>
    <xf numFmtId="190" fontId="121" fillId="0" borderId="0" applyFill="0" applyBorder="0" applyAlignment="0"/>
    <xf numFmtId="191" fontId="121" fillId="0" borderId="0" applyFill="0" applyBorder="0" applyAlignment="0"/>
    <xf numFmtId="176" fontId="121" fillId="0" borderId="0" applyFill="0" applyBorder="0" applyAlignment="0"/>
    <xf numFmtId="0" fontId="142" fillId="0" borderId="0"/>
    <xf numFmtId="0" fontId="105" fillId="0" borderId="0" applyNumberFormat="0" applyFont="0" applyFill="0" applyBorder="0" applyAlignment="0" applyProtection="0">
      <alignment horizontal="left"/>
    </xf>
    <xf numFmtId="0" fontId="143" fillId="0" borderId="22">
      <alignment horizontal="center"/>
    </xf>
    <xf numFmtId="0" fontId="144" fillId="32" borderId="0" applyNumberFormat="0" applyFont="0" applyBorder="0" applyAlignment="0">
      <alignment horizontal="center"/>
    </xf>
    <xf numFmtId="14" fontId="145" fillId="0" borderId="0" applyNumberFormat="0" applyFill="0" applyBorder="0" applyAlignment="0" applyProtection="0">
      <alignment horizontal="left"/>
    </xf>
    <xf numFmtId="181" fontId="15" fillId="0" borderId="0" applyFont="0" applyFill="0" applyBorder="0" applyAlignment="0" applyProtection="0"/>
    <xf numFmtId="4" fontId="146" fillId="33" borderId="28" applyNumberFormat="0" applyProtection="0">
      <alignment vertical="center"/>
    </xf>
    <xf numFmtId="4" fontId="147" fillId="33" borderId="28" applyNumberFormat="0" applyProtection="0">
      <alignment vertical="center"/>
    </xf>
    <xf numFmtId="4" fontId="148" fillId="33" borderId="28" applyNumberFormat="0" applyProtection="0">
      <alignment horizontal="left" vertical="center" indent="1"/>
    </xf>
    <xf numFmtId="4" fontId="148" fillId="34" borderId="0" applyNumberFormat="0" applyProtection="0">
      <alignment horizontal="left" vertical="center" indent="1"/>
    </xf>
    <xf numFmtId="4" fontId="148" fillId="35" borderId="28" applyNumberFormat="0" applyProtection="0">
      <alignment horizontal="right" vertical="center"/>
    </xf>
    <xf numFmtId="4" fontId="148" fillId="36" borderId="28" applyNumberFormat="0" applyProtection="0">
      <alignment horizontal="right" vertical="center"/>
    </xf>
    <xf numFmtId="4" fontId="148" fillId="37" borderId="28" applyNumberFormat="0" applyProtection="0">
      <alignment horizontal="right" vertical="center"/>
    </xf>
    <xf numFmtId="4" fontId="148" fillId="38" borderId="28" applyNumberFormat="0" applyProtection="0">
      <alignment horizontal="right" vertical="center"/>
    </xf>
    <xf numFmtId="4" fontId="148" fillId="39" borderId="28" applyNumberFormat="0" applyProtection="0">
      <alignment horizontal="right" vertical="center"/>
    </xf>
    <xf numFmtId="4" fontId="148" fillId="40" borderId="28" applyNumberFormat="0" applyProtection="0">
      <alignment horizontal="right" vertical="center"/>
    </xf>
    <xf numFmtId="4" fontId="148" fillId="41" borderId="28" applyNumberFormat="0" applyProtection="0">
      <alignment horizontal="right" vertical="center"/>
    </xf>
    <xf numFmtId="4" fontId="148" fillId="42" borderId="28" applyNumberFormat="0" applyProtection="0">
      <alignment horizontal="right" vertical="center"/>
    </xf>
    <xf numFmtId="4" fontId="148" fillId="43" borderId="28" applyNumberFormat="0" applyProtection="0">
      <alignment horizontal="right" vertical="center"/>
    </xf>
    <xf numFmtId="4" fontId="146" fillId="44" borderId="29" applyNumberFormat="0" applyProtection="0">
      <alignment horizontal="left" vertical="center" indent="1"/>
    </xf>
    <xf numFmtId="4" fontId="146" fillId="45" borderId="0" applyNumberFormat="0" applyProtection="0">
      <alignment horizontal="left" vertical="center" indent="1"/>
    </xf>
    <xf numFmtId="4" fontId="146" fillId="34" borderId="0" applyNumberFormat="0" applyProtection="0">
      <alignment horizontal="left" vertical="center" indent="1"/>
    </xf>
    <xf numFmtId="4" fontId="148" fillId="45" borderId="28" applyNumberFormat="0" applyProtection="0">
      <alignment horizontal="right" vertical="center"/>
    </xf>
    <xf numFmtId="4" fontId="96" fillId="45" borderId="0" applyNumberFormat="0" applyProtection="0">
      <alignment horizontal="left" vertical="center" indent="1"/>
    </xf>
    <xf numFmtId="4" fontId="96" fillId="34" borderId="0" applyNumberFormat="0" applyProtection="0">
      <alignment horizontal="left" vertical="center" indent="1"/>
    </xf>
    <xf numFmtId="4" fontId="148" fillId="46" borderId="28" applyNumberFormat="0" applyProtection="0">
      <alignment vertical="center"/>
    </xf>
    <xf numFmtId="4" fontId="149" fillId="46" borderId="28" applyNumberFormat="0" applyProtection="0">
      <alignment vertical="center"/>
    </xf>
    <xf numFmtId="4" fontId="146" fillId="45" borderId="30" applyNumberFormat="0" applyProtection="0">
      <alignment horizontal="left" vertical="center" indent="1"/>
    </xf>
    <xf numFmtId="4" fontId="148" fillId="46" borderId="28" applyNumberFormat="0" applyProtection="0">
      <alignment horizontal="right" vertical="center"/>
    </xf>
    <xf numFmtId="4" fontId="149" fillId="46" borderId="28" applyNumberFormat="0" applyProtection="0">
      <alignment horizontal="right" vertical="center"/>
    </xf>
    <xf numFmtId="4" fontId="146" fillId="45" borderId="28" applyNumberFormat="0" applyProtection="0">
      <alignment horizontal="left" vertical="center" indent="1"/>
    </xf>
    <xf numFmtId="4" fontId="150" fillId="29" borderId="30" applyNumberFormat="0" applyProtection="0">
      <alignment horizontal="left" vertical="center" indent="1"/>
    </xf>
    <xf numFmtId="4" fontId="151" fillId="46" borderId="28" applyNumberFormat="0" applyProtection="0">
      <alignment horizontal="right" vertical="center"/>
    </xf>
    <xf numFmtId="0" fontId="144" fillId="1" borderId="9" applyNumberFormat="0" applyFont="0" applyAlignment="0">
      <alignment horizontal="center"/>
    </xf>
    <xf numFmtId="0" fontId="152" fillId="0" borderId="0" applyNumberFormat="0" applyFill="0" applyBorder="0" applyAlignment="0">
      <alignment horizontal="center"/>
    </xf>
    <xf numFmtId="0" fontId="153" fillId="0" borderId="6" applyNumberFormat="0" applyFill="0" applyBorder="0" applyAlignment="0" applyProtection="0"/>
    <xf numFmtId="180"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0" fontId="137" fillId="0" borderId="0"/>
    <xf numFmtId="40" fontId="154" fillId="0" borderId="0" applyBorder="0">
      <alignment horizontal="right"/>
    </xf>
    <xf numFmtId="205" fontId="61" fillId="0" borderId="8">
      <alignment horizontal="right" vertical="center"/>
    </xf>
    <xf numFmtId="205" fontId="61" fillId="0" borderId="8">
      <alignment horizontal="right" vertical="center"/>
    </xf>
    <xf numFmtId="205" fontId="61" fillId="0" borderId="8">
      <alignment horizontal="right" vertical="center"/>
    </xf>
    <xf numFmtId="49" fontId="96" fillId="0" borderId="0" applyFill="0" applyBorder="0" applyAlignment="0"/>
    <xf numFmtId="206" fontId="13" fillId="0" borderId="0" applyFill="0" applyBorder="0" applyAlignment="0"/>
    <xf numFmtId="207" fontId="13" fillId="0" borderId="0" applyFill="0" applyBorder="0" applyAlignment="0"/>
    <xf numFmtId="208" fontId="61" fillId="0" borderId="8">
      <alignment horizontal="center"/>
    </xf>
    <xf numFmtId="0" fontId="141" fillId="0" borderId="0" applyNumberFormat="0" applyFill="0" applyBorder="0" applyAlignment="0" applyProtection="0"/>
    <xf numFmtId="3" fontId="155" fillId="0" borderId="12" applyNumberFormat="0" applyBorder="0" applyAlignment="0"/>
    <xf numFmtId="0" fontId="82" fillId="0" borderId="0" applyNumberFormat="0" applyFill="0" applyBorder="0" applyAlignment="0" applyProtection="0"/>
    <xf numFmtId="0" fontId="83" fillId="0" borderId="31" applyNumberFormat="0" applyFill="0" applyAlignment="0" applyProtection="0"/>
    <xf numFmtId="207" fontId="61" fillId="0" borderId="0"/>
    <xf numFmtId="209" fontId="61" fillId="0" borderId="3"/>
    <xf numFmtId="3" fontId="61" fillId="0" borderId="0" applyNumberFormat="0" applyBorder="0" applyAlignment="0" applyProtection="0">
      <alignment horizontal="centerContinuous"/>
      <protection locked="0"/>
    </xf>
    <xf numFmtId="3" fontId="156" fillId="0" borderId="0">
      <protection locked="0"/>
    </xf>
    <xf numFmtId="5" fontId="157" fillId="47" borderId="7">
      <alignment vertical="top"/>
    </xf>
    <xf numFmtId="0" fontId="100" fillId="48" borderId="3">
      <alignment horizontal="left" vertical="center"/>
    </xf>
    <xf numFmtId="6" fontId="158" fillId="31" borderId="7"/>
    <xf numFmtId="5" fontId="135" fillId="0" borderId="7">
      <alignment horizontal="left" vertical="top"/>
    </xf>
    <xf numFmtId="0" fontId="159" fillId="49" borderId="0">
      <alignment horizontal="left" vertical="center"/>
    </xf>
    <xf numFmtId="5" fontId="138" fillId="0" borderId="32">
      <alignment horizontal="left" vertical="top"/>
    </xf>
    <xf numFmtId="0" fontId="160" fillId="0" borderId="32">
      <alignment horizontal="left" vertical="center"/>
    </xf>
    <xf numFmtId="42" fontId="126" fillId="0" borderId="0" applyFont="0" applyFill="0" applyBorder="0" applyAlignment="0" applyProtection="0"/>
    <xf numFmtId="44" fontId="126" fillId="0" borderId="0" applyFont="0" applyFill="0" applyBorder="0" applyAlignment="0" applyProtection="0"/>
    <xf numFmtId="0" fontId="84" fillId="0" borderId="0" applyNumberFormat="0" applyFill="0" applyBorder="0" applyAlignment="0" applyProtection="0"/>
    <xf numFmtId="0" fontId="161" fillId="0" borderId="0" applyNumberFormat="0" applyFill="0" applyBorder="0" applyAlignment="0" applyProtection="0"/>
    <xf numFmtId="0" fontId="162" fillId="0" borderId="0" applyFont="0" applyFill="0" applyBorder="0" applyAlignment="0" applyProtection="0"/>
    <xf numFmtId="0" fontId="162" fillId="0" borderId="0" applyFont="0" applyFill="0" applyBorder="0" applyAlignment="0" applyProtection="0"/>
    <xf numFmtId="0" fontId="16" fillId="0" borderId="0">
      <alignment vertical="center"/>
    </xf>
    <xf numFmtId="40" fontId="88" fillId="0" borderId="0" applyFont="0" applyFill="0" applyBorder="0" applyAlignment="0" applyProtection="0"/>
    <xf numFmtId="38" fontId="88" fillId="0" borderId="0" applyFont="0" applyFill="0" applyBorder="0" applyAlignment="0" applyProtection="0"/>
    <xf numFmtId="0" fontId="88" fillId="0" borderId="0" applyFont="0" applyFill="0" applyBorder="0" applyAlignment="0" applyProtection="0"/>
    <xf numFmtId="0" fontId="88" fillId="0" borderId="0" applyFont="0" applyFill="0" applyBorder="0" applyAlignment="0" applyProtection="0"/>
    <xf numFmtId="9" fontId="163" fillId="0" borderId="0" applyFont="0" applyFill="0" applyBorder="0" applyAlignment="0" applyProtection="0"/>
    <xf numFmtId="0" fontId="89" fillId="0" borderId="0"/>
    <xf numFmtId="171" fontId="13" fillId="0" borderId="0" applyFont="0" applyFill="0" applyBorder="0" applyAlignment="0" applyProtection="0"/>
    <xf numFmtId="170" fontId="13" fillId="0" borderId="0" applyFont="0" applyFill="0" applyBorder="0" applyAlignment="0" applyProtection="0"/>
    <xf numFmtId="173" fontId="90" fillId="0" borderId="0" applyFont="0" applyFill="0" applyBorder="0" applyAlignment="0" applyProtection="0"/>
    <xf numFmtId="174" fontId="90" fillId="0" borderId="0" applyFont="0" applyFill="0" applyBorder="0" applyAlignment="0" applyProtection="0"/>
    <xf numFmtId="0" fontId="91" fillId="0" borderId="0"/>
    <xf numFmtId="0" fontId="139" fillId="0" borderId="0"/>
    <xf numFmtId="164" fontId="164" fillId="0" borderId="0" applyFont="0" applyFill="0" applyBorder="0" applyAlignment="0" applyProtection="0"/>
    <xf numFmtId="165" fontId="164" fillId="0" borderId="0" applyFont="0" applyFill="0" applyBorder="0" applyAlignment="0" applyProtection="0"/>
    <xf numFmtId="0" fontId="97" fillId="0" borderId="0"/>
    <xf numFmtId="210" fontId="164" fillId="0" borderId="0" applyFont="0" applyFill="0" applyBorder="0" applyAlignment="0" applyProtection="0"/>
    <xf numFmtId="6" fontId="103" fillId="0" borderId="0" applyFont="0" applyFill="0" applyBorder="0" applyAlignment="0" applyProtection="0"/>
    <xf numFmtId="190" fontId="164" fillId="0" borderId="0" applyFont="0" applyFill="0" applyBorder="0" applyAlignment="0" applyProtection="0"/>
    <xf numFmtId="0" fontId="13" fillId="0" borderId="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5"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78" fillId="12" borderId="14" applyNumberForma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13"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13" fillId="0" borderId="0" applyFont="0" applyFill="0" applyBorder="0" applyAlignment="0" applyProtection="0"/>
    <xf numFmtId="0" fontId="13" fillId="0" borderId="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43" fontId="13" fillId="0" borderId="0" applyFont="0" applyFill="0" applyBorder="0" applyAlignment="0" applyProtection="0"/>
    <xf numFmtId="0" fontId="173" fillId="0" borderId="0" applyFill="0" applyProtection="0"/>
    <xf numFmtId="43" fontId="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43" fontId="13"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1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3" fillId="0" borderId="0" applyFont="0" applyFill="0" applyBorder="0" applyAlignment="0" applyProtection="0"/>
    <xf numFmtId="0" fontId="3" fillId="0" borderId="0"/>
    <xf numFmtId="0" fontId="3" fillId="0" borderId="0"/>
    <xf numFmtId="43" fontId="1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165" fillId="0" borderId="0"/>
    <xf numFmtId="0" fontId="165" fillId="0" borderId="0"/>
    <xf numFmtId="43" fontId="165" fillId="0" borderId="0" applyFont="0" applyFill="0" applyBorder="0" applyAlignment="0" applyProtection="0"/>
    <xf numFmtId="43" fontId="16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2" fillId="0" borderId="0"/>
    <xf numFmtId="0" fontId="95" fillId="0" borderId="0"/>
    <xf numFmtId="0" fontId="95" fillId="0" borderId="0"/>
    <xf numFmtId="0" fontId="95" fillId="0" borderId="0"/>
    <xf numFmtId="0" fontId="95"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6"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57">
    <xf numFmtId="0" fontId="0" fillId="0" borderId="0" xfId="0"/>
    <xf numFmtId="0" fontId="20" fillId="0" borderId="0" xfId="0" applyFont="1"/>
    <xf numFmtId="0" fontId="21" fillId="0" borderId="0" xfId="0" applyFont="1" applyAlignment="1">
      <alignment vertical="center"/>
    </xf>
    <xf numFmtId="0" fontId="20" fillId="0" borderId="0" xfId="0" applyFont="1" applyAlignment="1">
      <alignment vertical="center"/>
    </xf>
    <xf numFmtId="0" fontId="21" fillId="0" borderId="0" xfId="0" applyFont="1" applyAlignment="1">
      <alignment vertical="center" wrapText="1"/>
    </xf>
    <xf numFmtId="0" fontId="22" fillId="0" borderId="0" xfId="0" applyFont="1"/>
    <xf numFmtId="3" fontId="20" fillId="0" borderId="0" xfId="0" applyNumberFormat="1" applyFont="1"/>
    <xf numFmtId="49" fontId="20" fillId="0" borderId="0" xfId="0" applyNumberFormat="1" applyFont="1"/>
    <xf numFmtId="3" fontId="20" fillId="2" borderId="0" xfId="0" applyNumberFormat="1" applyFont="1" applyFill="1"/>
    <xf numFmtId="3" fontId="20" fillId="0" borderId="0" xfId="0" applyNumberFormat="1" applyFont="1" applyAlignment="1">
      <alignment horizontal="right"/>
    </xf>
    <xf numFmtId="0" fontId="20" fillId="0" borderId="0" xfId="0" applyFont="1" applyAlignment="1">
      <alignment horizontal="center" vertical="center"/>
    </xf>
    <xf numFmtId="3" fontId="20" fillId="2" borderId="3" xfId="0" applyNumberFormat="1" applyFont="1" applyFill="1" applyBorder="1" applyAlignment="1">
      <alignment horizontal="center" vertical="center" wrapText="1"/>
    </xf>
    <xf numFmtId="3" fontId="20" fillId="0" borderId="3" xfId="0" applyNumberFormat="1" applyFont="1" applyBorder="1" applyAlignment="1">
      <alignment horizontal="center" vertical="center" wrapText="1"/>
    </xf>
    <xf numFmtId="0" fontId="25" fillId="0" borderId="3" xfId="0" applyFont="1" applyBorder="1" applyAlignment="1">
      <alignment horizontal="center" vertical="center"/>
    </xf>
    <xf numFmtId="49" fontId="25" fillId="0" borderId="3" xfId="0" applyNumberFormat="1" applyFont="1" applyBorder="1" applyAlignment="1">
      <alignment horizontal="center" vertical="center"/>
    </xf>
    <xf numFmtId="3" fontId="25" fillId="0" borderId="3" xfId="0" applyNumberFormat="1" applyFont="1" applyBorder="1" applyAlignment="1">
      <alignment horizontal="center" vertical="center" wrapText="1"/>
    </xf>
    <xf numFmtId="3" fontId="26" fillId="2" borderId="3" xfId="0" applyNumberFormat="1" applyFont="1" applyFill="1" applyBorder="1" applyAlignment="1">
      <alignment horizontal="center" vertical="center"/>
    </xf>
    <xf numFmtId="3" fontId="26" fillId="0" borderId="3" xfId="0" applyNumberFormat="1" applyFont="1" applyBorder="1" applyAlignment="1">
      <alignment horizontal="center" vertical="center"/>
    </xf>
    <xf numFmtId="3" fontId="25" fillId="0" borderId="3" xfId="0" applyNumberFormat="1" applyFont="1" applyBorder="1" applyAlignment="1">
      <alignment horizontal="center" vertical="center"/>
    </xf>
    <xf numFmtId="0" fontId="25" fillId="0" borderId="0" xfId="0" applyFont="1" applyAlignment="1">
      <alignment horizontal="center" vertical="center"/>
    </xf>
    <xf numFmtId="0" fontId="27" fillId="0" borderId="2" xfId="0" applyFont="1" applyBorder="1" applyAlignment="1">
      <alignment vertical="center"/>
    </xf>
    <xf numFmtId="0" fontId="27" fillId="0" borderId="2" xfId="0" applyFont="1" applyBorder="1" applyAlignment="1">
      <alignment horizontal="center" vertical="center"/>
    </xf>
    <xf numFmtId="49" fontId="27" fillId="0" borderId="2" xfId="0" applyNumberFormat="1" applyFont="1" applyBorder="1" applyAlignment="1">
      <alignment vertical="center"/>
    </xf>
    <xf numFmtId="3" fontId="27" fillId="0" borderId="2" xfId="0" applyNumberFormat="1" applyFont="1" applyBorder="1" applyAlignment="1">
      <alignment vertical="center"/>
    </xf>
    <xf numFmtId="3" fontId="27" fillId="2" borderId="2" xfId="0" applyNumberFormat="1" applyFont="1" applyFill="1" applyBorder="1" applyAlignment="1">
      <alignment vertical="center"/>
    </xf>
    <xf numFmtId="0" fontId="27" fillId="0" borderId="0" xfId="0" applyFont="1" applyAlignment="1">
      <alignment vertical="center"/>
    </xf>
    <xf numFmtId="0" fontId="28" fillId="0" borderId="2" xfId="0" applyFont="1" applyBorder="1" applyAlignment="1">
      <alignment horizontal="center" vertical="center"/>
    </xf>
    <xf numFmtId="0" fontId="28" fillId="0" borderId="2" xfId="0" applyFont="1" applyBorder="1" applyAlignment="1">
      <alignment horizontal="center" vertical="center" wrapText="1"/>
    </xf>
    <xf numFmtId="49" fontId="28" fillId="0" borderId="2" xfId="0" applyNumberFormat="1" applyFont="1" applyBorder="1" applyAlignment="1">
      <alignment vertical="center"/>
    </xf>
    <xf numFmtId="3" fontId="28" fillId="0" borderId="2" xfId="0" applyNumberFormat="1" applyFont="1" applyBorder="1" applyAlignment="1">
      <alignment vertical="center"/>
    </xf>
    <xf numFmtId="3" fontId="28" fillId="2" borderId="2" xfId="0" applyNumberFormat="1" applyFont="1" applyFill="1" applyBorder="1" applyAlignment="1">
      <alignment vertical="center"/>
    </xf>
    <xf numFmtId="0" fontId="28" fillId="0" borderId="2" xfId="0" applyFont="1" applyBorder="1" applyAlignment="1">
      <alignment vertical="center"/>
    </xf>
    <xf numFmtId="0" fontId="28" fillId="0" borderId="0" xfId="0" applyFont="1" applyAlignment="1">
      <alignment vertical="center"/>
    </xf>
    <xf numFmtId="0" fontId="28" fillId="0" borderId="2" xfId="0" applyFont="1" applyBorder="1" applyAlignment="1">
      <alignment horizontal="left" vertical="center" wrapText="1"/>
    </xf>
    <xf numFmtId="49" fontId="28" fillId="0" borderId="2" xfId="0" quotePrefix="1" applyNumberFormat="1" applyFont="1" applyBorder="1" applyAlignment="1">
      <alignment vertical="center"/>
    </xf>
    <xf numFmtId="0" fontId="29" fillId="0" borderId="2" xfId="0" applyFont="1" applyBorder="1" applyAlignment="1">
      <alignment vertical="center"/>
    </xf>
    <xf numFmtId="0" fontId="29" fillId="0" borderId="2" xfId="0" applyFont="1" applyBorder="1" applyAlignment="1">
      <alignment horizontal="left" vertical="center" wrapText="1"/>
    </xf>
    <xf numFmtId="49" fontId="29" fillId="0" borderId="2" xfId="0" applyNumberFormat="1" applyFont="1" applyBorder="1" applyAlignment="1">
      <alignment vertical="center"/>
    </xf>
    <xf numFmtId="3" fontId="29" fillId="0" borderId="2" xfId="0" applyNumberFormat="1" applyFont="1" applyBorder="1" applyAlignment="1">
      <alignment vertical="center"/>
    </xf>
    <xf numFmtId="3" fontId="29" fillId="2" borderId="2" xfId="0" applyNumberFormat="1" applyFont="1" applyFill="1" applyBorder="1" applyAlignment="1">
      <alignment vertical="center"/>
    </xf>
    <xf numFmtId="0" fontId="29" fillId="0" borderId="0" xfId="0" applyFont="1" applyAlignment="1">
      <alignment vertical="center"/>
    </xf>
    <xf numFmtId="0" fontId="30" fillId="0" borderId="2" xfId="0" applyFont="1" applyBorder="1" applyAlignment="1">
      <alignment vertical="center"/>
    </xf>
    <xf numFmtId="168" fontId="16" fillId="0" borderId="2" xfId="5" quotePrefix="1" applyNumberFormat="1" applyFont="1" applyFill="1" applyBorder="1" applyAlignment="1">
      <alignment vertical="center" wrapText="1"/>
    </xf>
    <xf numFmtId="3" fontId="31" fillId="0" borderId="2" xfId="0" applyNumberFormat="1" applyFont="1" applyBorder="1" applyAlignment="1">
      <alignment vertical="center"/>
    </xf>
    <xf numFmtId="3" fontId="32" fillId="0" borderId="2" xfId="0" applyNumberFormat="1" applyFont="1" applyBorder="1" applyAlignment="1">
      <alignment vertical="center"/>
    </xf>
    <xf numFmtId="3" fontId="33" fillId="2" borderId="2" xfId="0" applyNumberFormat="1" applyFont="1" applyFill="1" applyBorder="1" applyAlignment="1">
      <alignment vertical="center"/>
    </xf>
    <xf numFmtId="3" fontId="33" fillId="0" borderId="2" xfId="0" applyNumberFormat="1" applyFont="1" applyBorder="1" applyAlignment="1">
      <alignment vertical="center"/>
    </xf>
    <xf numFmtId="3" fontId="20" fillId="2" borderId="2" xfId="0" applyNumberFormat="1" applyFont="1" applyFill="1" applyBorder="1" applyAlignment="1">
      <alignment vertical="center"/>
    </xf>
    <xf numFmtId="3" fontId="20" fillId="0" borderId="2" xfId="0" applyNumberFormat="1" applyFont="1" applyBorder="1" applyAlignment="1">
      <alignment vertical="center"/>
    </xf>
    <xf numFmtId="0" fontId="16" fillId="0" borderId="2" xfId="5" quotePrefix="1" applyNumberFormat="1" applyFont="1" applyFill="1" applyBorder="1" applyAlignment="1">
      <alignment vertical="center" wrapText="1"/>
    </xf>
    <xf numFmtId="0" fontId="34" fillId="0" borderId="2" xfId="0" applyFont="1" applyBorder="1" applyAlignment="1">
      <alignment vertical="center"/>
    </xf>
    <xf numFmtId="0" fontId="34" fillId="0" borderId="2" xfId="0" applyFont="1" applyBorder="1" applyAlignment="1">
      <alignment horizontal="left" vertical="center" wrapText="1"/>
    </xf>
    <xf numFmtId="49" fontId="34" fillId="0" borderId="2" xfId="0" applyNumberFormat="1" applyFont="1" applyBorder="1" applyAlignment="1">
      <alignment vertical="center"/>
    </xf>
    <xf numFmtId="3" fontId="34" fillId="0" borderId="2" xfId="0" applyNumberFormat="1" applyFont="1" applyBorder="1" applyAlignment="1">
      <alignment vertical="center"/>
    </xf>
    <xf numFmtId="3" fontId="34" fillId="2" borderId="2" xfId="0" applyNumberFormat="1" applyFont="1" applyFill="1" applyBorder="1" applyAlignment="1">
      <alignment vertical="center"/>
    </xf>
    <xf numFmtId="0" fontId="34" fillId="0" borderId="0" xfId="0" applyFont="1" applyAlignment="1">
      <alignment vertical="center"/>
    </xf>
    <xf numFmtId="0" fontId="35" fillId="0" borderId="2" xfId="0" applyFont="1" applyBorder="1" applyAlignment="1">
      <alignment vertical="center"/>
    </xf>
    <xf numFmtId="168" fontId="36" fillId="0" borderId="2" xfId="5" quotePrefix="1" applyNumberFormat="1" applyFont="1" applyFill="1" applyBorder="1" applyAlignment="1">
      <alignment vertical="center" wrapText="1"/>
    </xf>
    <xf numFmtId="49" fontId="37" fillId="0" borderId="2" xfId="0" applyNumberFormat="1" applyFont="1" applyBorder="1" applyAlignment="1">
      <alignment vertical="center"/>
    </xf>
    <xf numFmtId="3" fontId="38" fillId="0" borderId="2" xfId="0" applyNumberFormat="1" applyFont="1" applyBorder="1" applyAlignment="1">
      <alignment vertical="center"/>
    </xf>
    <xf numFmtId="3" fontId="38" fillId="2" borderId="2" xfId="0" applyNumberFormat="1" applyFont="1" applyFill="1" applyBorder="1" applyAlignment="1">
      <alignment vertical="center"/>
    </xf>
    <xf numFmtId="0" fontId="37" fillId="0" borderId="2" xfId="0" applyFont="1" applyBorder="1" applyAlignment="1">
      <alignment vertical="center"/>
    </xf>
    <xf numFmtId="0" fontId="37" fillId="0" borderId="0" xfId="0" applyFont="1" applyAlignment="1">
      <alignment vertical="center"/>
    </xf>
    <xf numFmtId="0" fontId="39" fillId="0" borderId="2" xfId="0" applyFont="1" applyBorder="1" applyAlignment="1">
      <alignment horizontal="center" vertical="center"/>
    </xf>
    <xf numFmtId="0" fontId="39" fillId="0" borderId="2" xfId="0" applyFont="1" applyBorder="1" applyAlignment="1">
      <alignment horizontal="center" vertical="center" wrapText="1"/>
    </xf>
    <xf numFmtId="49" fontId="39" fillId="0" borderId="2" xfId="0" applyNumberFormat="1" applyFont="1" applyBorder="1" applyAlignment="1">
      <alignment vertical="center"/>
    </xf>
    <xf numFmtId="3" fontId="39" fillId="0" borderId="2" xfId="0" applyNumberFormat="1" applyFont="1" applyBorder="1" applyAlignment="1">
      <alignment vertical="center"/>
    </xf>
    <xf numFmtId="3" fontId="39" fillId="2" borderId="2" xfId="0" applyNumberFormat="1" applyFont="1" applyFill="1" applyBorder="1" applyAlignment="1">
      <alignment vertical="center"/>
    </xf>
    <xf numFmtId="0" fontId="39" fillId="0" borderId="2" xfId="0" applyFont="1" applyBorder="1" applyAlignment="1">
      <alignment vertical="center"/>
    </xf>
    <xf numFmtId="3" fontId="39" fillId="0" borderId="0" xfId="0" applyNumberFormat="1" applyFont="1" applyAlignment="1">
      <alignment vertical="center"/>
    </xf>
    <xf numFmtId="0" fontId="39" fillId="0" borderId="0" xfId="0" applyFont="1" applyAlignment="1">
      <alignment vertical="center"/>
    </xf>
    <xf numFmtId="0" fontId="40" fillId="0" borderId="2" xfId="0" applyFont="1" applyBorder="1" applyAlignment="1">
      <alignment vertical="center"/>
    </xf>
    <xf numFmtId="49" fontId="40" fillId="0" borderId="2" xfId="0" quotePrefix="1" applyNumberFormat="1" applyFont="1" applyBorder="1" applyAlignment="1">
      <alignment vertical="center"/>
    </xf>
    <xf numFmtId="3" fontId="40" fillId="0" borderId="2" xfId="0" applyNumberFormat="1" applyFont="1" applyBorder="1" applyAlignment="1">
      <alignment vertical="center"/>
    </xf>
    <xf numFmtId="3" fontId="40" fillId="2" borderId="2" xfId="0" applyNumberFormat="1" applyFont="1" applyFill="1" applyBorder="1" applyAlignment="1">
      <alignment vertical="center"/>
    </xf>
    <xf numFmtId="0" fontId="40" fillId="0" borderId="0" xfId="0" applyFont="1" applyAlignment="1">
      <alignment vertical="center"/>
    </xf>
    <xf numFmtId="0" fontId="38" fillId="0" borderId="2" xfId="0" applyFont="1" applyBorder="1" applyAlignment="1">
      <alignment vertical="center"/>
    </xf>
    <xf numFmtId="0" fontId="38" fillId="0" borderId="2" xfId="0" applyFont="1" applyBorder="1" applyAlignment="1">
      <alignment horizontal="left" vertical="center" wrapText="1"/>
    </xf>
    <xf numFmtId="49" fontId="38" fillId="0" borderId="2" xfId="0" quotePrefix="1" applyNumberFormat="1" applyFont="1" applyBorder="1" applyAlignment="1">
      <alignment vertical="center"/>
    </xf>
    <xf numFmtId="0" fontId="38" fillId="0" borderId="0" xfId="0" applyFont="1" applyAlignment="1">
      <alignment vertical="center"/>
    </xf>
    <xf numFmtId="0" fontId="20" fillId="0" borderId="2" xfId="0" applyFont="1" applyBorder="1" applyAlignment="1">
      <alignment vertical="center"/>
    </xf>
    <xf numFmtId="49" fontId="20" fillId="0" borderId="2" xfId="0" applyNumberFormat="1" applyFont="1" applyBorder="1" applyAlignment="1">
      <alignment vertical="center"/>
    </xf>
    <xf numFmtId="0" fontId="20" fillId="0" borderId="4" xfId="0" applyFont="1" applyBorder="1" applyAlignment="1">
      <alignment vertical="center"/>
    </xf>
    <xf numFmtId="168" fontId="16" fillId="0" borderId="4" xfId="5" quotePrefix="1" applyNumberFormat="1" applyFont="1" applyFill="1" applyBorder="1" applyAlignment="1">
      <alignment vertical="center" wrapText="1"/>
    </xf>
    <xf numFmtId="49" fontId="20" fillId="0" borderId="4" xfId="0" applyNumberFormat="1" applyFont="1" applyBorder="1" applyAlignment="1">
      <alignment vertical="center"/>
    </xf>
    <xf numFmtId="3" fontId="30" fillId="2" borderId="2" xfId="0" applyNumberFormat="1" applyFont="1" applyFill="1" applyBorder="1" applyAlignment="1">
      <alignment vertical="center"/>
    </xf>
    <xf numFmtId="3" fontId="30" fillId="0" borderId="2" xfId="0" applyNumberFormat="1" applyFont="1" applyBorder="1" applyAlignment="1">
      <alignment vertical="center"/>
    </xf>
    <xf numFmtId="0" fontId="41" fillId="0" borderId="0" xfId="0" applyFont="1" applyAlignment="1">
      <alignment vertical="center"/>
    </xf>
    <xf numFmtId="0" fontId="42" fillId="0" borderId="0" xfId="0" applyFont="1" applyAlignment="1">
      <alignment vertical="center"/>
    </xf>
    <xf numFmtId="168" fontId="16" fillId="0" borderId="2" xfId="5" quotePrefix="1" applyNumberFormat="1" applyFont="1" applyFill="1" applyBorder="1" applyAlignment="1">
      <alignment horizontal="left" vertical="center" wrapText="1"/>
    </xf>
    <xf numFmtId="3" fontId="31" fillId="2" borderId="2" xfId="0" applyNumberFormat="1" applyFont="1" applyFill="1" applyBorder="1" applyAlignment="1">
      <alignment vertical="center"/>
    </xf>
    <xf numFmtId="0" fontId="43" fillId="0" borderId="2" xfId="0" applyFont="1" applyBorder="1" applyAlignment="1">
      <alignment vertical="center"/>
    </xf>
    <xf numFmtId="168" fontId="44" fillId="0" borderId="2" xfId="5" quotePrefix="1" applyNumberFormat="1" applyFont="1" applyFill="1" applyBorder="1" applyAlignment="1">
      <alignment vertical="center" wrapText="1"/>
    </xf>
    <xf numFmtId="3" fontId="45" fillId="0" borderId="2" xfId="0" applyNumberFormat="1" applyFont="1" applyBorder="1" applyAlignment="1">
      <alignment vertical="center"/>
    </xf>
    <xf numFmtId="3" fontId="46" fillId="0" borderId="2" xfId="0" applyNumberFormat="1" applyFont="1" applyBorder="1" applyAlignment="1">
      <alignment vertical="center"/>
    </xf>
    <xf numFmtId="3" fontId="47" fillId="2" borderId="2" xfId="0" applyNumberFormat="1" applyFont="1" applyFill="1" applyBorder="1" applyAlignment="1">
      <alignment vertical="center"/>
    </xf>
    <xf numFmtId="3" fontId="47" fillId="0" borderId="2" xfId="0" applyNumberFormat="1" applyFont="1" applyBorder="1" applyAlignment="1">
      <alignment vertical="center"/>
    </xf>
    <xf numFmtId="0" fontId="48" fillId="0" borderId="2" xfId="0" applyFont="1" applyBorder="1" applyAlignment="1">
      <alignment vertical="center"/>
    </xf>
    <xf numFmtId="49" fontId="48" fillId="0" borderId="2" xfId="0" applyNumberFormat="1" applyFont="1" applyBorder="1" applyAlignment="1">
      <alignment vertical="center"/>
    </xf>
    <xf numFmtId="0" fontId="48" fillId="0" borderId="0" xfId="0" applyFont="1" applyAlignment="1">
      <alignment vertical="center"/>
    </xf>
    <xf numFmtId="0" fontId="40" fillId="0" borderId="2" xfId="0" applyFont="1" applyBorder="1" applyAlignment="1">
      <alignment horizontal="left" vertical="center" wrapText="1"/>
    </xf>
    <xf numFmtId="0" fontId="49" fillId="0" borderId="4" xfId="0" applyFont="1" applyBorder="1" applyAlignment="1">
      <alignment vertical="center"/>
    </xf>
    <xf numFmtId="168" fontId="44" fillId="0" borderId="4" xfId="5" quotePrefix="1" applyNumberFormat="1" applyFont="1" applyFill="1" applyBorder="1" applyAlignment="1">
      <alignment vertical="center" wrapText="1"/>
    </xf>
    <xf numFmtId="49" fontId="49" fillId="0" borderId="4" xfId="0" applyNumberFormat="1" applyFont="1" applyBorder="1" applyAlignment="1">
      <alignment vertical="center"/>
    </xf>
    <xf numFmtId="0" fontId="49" fillId="0" borderId="0" xfId="0" applyFont="1" applyAlignment="1">
      <alignment vertical="center"/>
    </xf>
    <xf numFmtId="3" fontId="46" fillId="2" borderId="2" xfId="0" applyNumberFormat="1" applyFont="1" applyFill="1" applyBorder="1" applyAlignment="1">
      <alignment vertical="center"/>
    </xf>
    <xf numFmtId="3" fontId="49" fillId="0" borderId="2" xfId="0" applyNumberFormat="1" applyFont="1" applyBorder="1" applyAlignment="1">
      <alignment vertical="center"/>
    </xf>
    <xf numFmtId="3" fontId="49" fillId="2" borderId="2" xfId="0" applyNumberFormat="1" applyFont="1" applyFill="1" applyBorder="1" applyAlignment="1">
      <alignment vertical="center"/>
    </xf>
    <xf numFmtId="0" fontId="20" fillId="0" borderId="1" xfId="0" applyFont="1" applyBorder="1" applyAlignment="1">
      <alignment vertical="center"/>
    </xf>
    <xf numFmtId="49" fontId="20" fillId="0" borderId="1" xfId="0" applyNumberFormat="1" applyFont="1" applyBorder="1" applyAlignment="1">
      <alignment vertical="center"/>
    </xf>
    <xf numFmtId="3" fontId="20" fillId="0" borderId="1" xfId="0" applyNumberFormat="1" applyFont="1" applyBorder="1" applyAlignment="1">
      <alignment vertical="center"/>
    </xf>
    <xf numFmtId="3" fontId="20" fillId="2" borderId="1" xfId="0" applyNumberFormat="1" applyFont="1" applyFill="1" applyBorder="1" applyAlignment="1">
      <alignment vertical="center"/>
    </xf>
    <xf numFmtId="0" fontId="20" fillId="3" borderId="2" xfId="0" applyFont="1" applyFill="1" applyBorder="1" applyAlignment="1">
      <alignment vertical="center"/>
    </xf>
    <xf numFmtId="168" fontId="16" fillId="3" borderId="2" xfId="5" quotePrefix="1" applyNumberFormat="1" applyFont="1" applyFill="1" applyBorder="1" applyAlignment="1">
      <alignment vertical="center" wrapText="1"/>
    </xf>
    <xf numFmtId="49" fontId="20" fillId="3" borderId="2" xfId="0" applyNumberFormat="1" applyFont="1" applyFill="1" applyBorder="1" applyAlignment="1">
      <alignment vertical="center"/>
    </xf>
    <xf numFmtId="3" fontId="31" fillId="3" borderId="2" xfId="0" applyNumberFormat="1" applyFont="1" applyFill="1" applyBorder="1" applyAlignment="1">
      <alignment vertical="center"/>
    </xf>
    <xf numFmtId="3" fontId="32" fillId="3" borderId="2" xfId="0" applyNumberFormat="1" applyFont="1" applyFill="1" applyBorder="1" applyAlignment="1">
      <alignment vertical="center"/>
    </xf>
    <xf numFmtId="3" fontId="20" fillId="3" borderId="2" xfId="0" applyNumberFormat="1" applyFont="1" applyFill="1" applyBorder="1" applyAlignment="1">
      <alignment vertical="center"/>
    </xf>
    <xf numFmtId="0" fontId="20" fillId="3" borderId="0" xfId="0" applyFont="1" applyFill="1" applyAlignment="1">
      <alignment vertical="center"/>
    </xf>
    <xf numFmtId="0" fontId="20" fillId="3" borderId="4" xfId="0" applyFont="1" applyFill="1" applyBorder="1" applyAlignment="1">
      <alignment vertical="center"/>
    </xf>
    <xf numFmtId="168" fontId="16" fillId="3" borderId="4" xfId="5" quotePrefix="1" applyNumberFormat="1" applyFont="1" applyFill="1" applyBorder="1" applyAlignment="1">
      <alignment vertical="center" wrapText="1"/>
    </xf>
    <xf numFmtId="49" fontId="20" fillId="3" borderId="4" xfId="0" applyNumberFormat="1" applyFont="1" applyFill="1" applyBorder="1" applyAlignment="1">
      <alignment vertical="center"/>
    </xf>
    <xf numFmtId="3" fontId="30" fillId="3" borderId="2" xfId="0" applyNumberFormat="1" applyFont="1" applyFill="1" applyBorder="1" applyAlignment="1">
      <alignment vertical="center"/>
    </xf>
    <xf numFmtId="0" fontId="11" fillId="4" borderId="3"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2" xfId="0" quotePrefix="1" applyFont="1" applyFill="1" applyBorder="1" applyAlignment="1">
      <alignment horizontal="center" vertical="center" wrapText="1"/>
    </xf>
    <xf numFmtId="3" fontId="10" fillId="4" borderId="2" xfId="3" applyNumberFormat="1" applyFont="1" applyFill="1" applyBorder="1" applyAlignment="1">
      <alignment vertical="center"/>
    </xf>
    <xf numFmtId="0" fontId="10" fillId="4" borderId="0" xfId="0" applyFont="1" applyFill="1" applyAlignment="1">
      <alignment vertical="center"/>
    </xf>
    <xf numFmtId="3" fontId="10" fillId="4" borderId="0" xfId="0" applyNumberFormat="1" applyFont="1" applyFill="1" applyAlignment="1">
      <alignment vertical="center"/>
    </xf>
    <xf numFmtId="0" fontId="10" fillId="4" borderId="0" xfId="0" applyFont="1" applyFill="1" applyAlignment="1">
      <alignment horizontal="center" vertical="center"/>
    </xf>
    <xf numFmtId="0" fontId="12" fillId="4" borderId="0" xfId="0" applyFont="1" applyFill="1" applyAlignment="1">
      <alignment horizontal="right" vertical="center"/>
    </xf>
    <xf numFmtId="0" fontId="11" fillId="4" borderId="3"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2" xfId="0" applyFont="1" applyFill="1" applyBorder="1" applyAlignment="1">
      <alignment vertical="center" wrapText="1"/>
    </xf>
    <xf numFmtId="0" fontId="11" fillId="4" borderId="12" xfId="0" applyFont="1" applyFill="1" applyBorder="1" applyAlignment="1">
      <alignment horizontal="center" vertical="center" wrapText="1"/>
    </xf>
    <xf numFmtId="0" fontId="11" fillId="4" borderId="2" xfId="0" applyFont="1" applyFill="1" applyBorder="1" applyAlignment="1">
      <alignment horizontal="center" vertical="center"/>
    </xf>
    <xf numFmtId="0" fontId="11" fillId="4" borderId="2" xfId="0" applyFont="1" applyFill="1" applyBorder="1" applyAlignment="1">
      <alignment vertical="center" wrapText="1"/>
    </xf>
    <xf numFmtId="3" fontId="11" fillId="4" borderId="2" xfId="0" applyNumberFormat="1" applyFont="1" applyFill="1" applyBorder="1" applyAlignment="1">
      <alignment vertical="center"/>
    </xf>
    <xf numFmtId="0" fontId="10" fillId="4" borderId="2" xfId="0" applyFont="1" applyFill="1" applyBorder="1" applyAlignment="1">
      <alignment vertical="center" wrapText="1"/>
    </xf>
    <xf numFmtId="3" fontId="10" fillId="4" borderId="2" xfId="0" applyNumberFormat="1" applyFont="1" applyFill="1" applyBorder="1" applyAlignment="1">
      <alignment vertical="center"/>
    </xf>
    <xf numFmtId="0" fontId="12" fillId="4" borderId="0" xfId="0" applyFont="1" applyFill="1" applyAlignment="1">
      <alignment vertical="center"/>
    </xf>
    <xf numFmtId="0" fontId="10" fillId="4" borderId="2" xfId="0" quotePrefix="1" applyFont="1" applyFill="1" applyBorder="1" applyAlignment="1">
      <alignment vertical="center" wrapText="1"/>
    </xf>
    <xf numFmtId="0" fontId="11" fillId="4" borderId="2" xfId="0" quotePrefix="1" applyFont="1" applyFill="1" applyBorder="1" applyAlignment="1">
      <alignment horizontal="center" vertical="center" wrapText="1"/>
    </xf>
    <xf numFmtId="3" fontId="11" fillId="4" borderId="2" xfId="1" applyNumberFormat="1" applyFont="1" applyFill="1" applyBorder="1" applyAlignment="1">
      <alignment vertical="center"/>
    </xf>
    <xf numFmtId="0" fontId="11" fillId="4" borderId="0" xfId="0" applyFont="1" applyFill="1" applyAlignment="1">
      <alignment vertical="center"/>
    </xf>
    <xf numFmtId="0" fontId="18" fillId="4" borderId="2" xfId="0" applyFont="1" applyFill="1" applyBorder="1" applyAlignment="1">
      <alignment horizontal="center" vertical="center" wrapText="1"/>
    </xf>
    <xf numFmtId="0" fontId="18" fillId="4" borderId="0" xfId="0" applyFont="1" applyFill="1" applyAlignment="1">
      <alignment vertical="center"/>
    </xf>
    <xf numFmtId="3" fontId="11" fillId="4" borderId="2" xfId="0" applyNumberFormat="1" applyFont="1" applyFill="1" applyBorder="1" applyAlignment="1">
      <alignment horizontal="right" vertical="center"/>
    </xf>
    <xf numFmtId="0" fontId="14" fillId="4" borderId="2" xfId="0" applyFont="1" applyFill="1" applyBorder="1" applyAlignment="1">
      <alignment horizontal="center" vertical="center"/>
    </xf>
    <xf numFmtId="0" fontId="14" fillId="4" borderId="2" xfId="0" applyFont="1" applyFill="1" applyBorder="1" applyAlignment="1">
      <alignment horizontal="left" vertical="center" wrapText="1"/>
    </xf>
    <xf numFmtId="3" fontId="14" fillId="4" borderId="2" xfId="1" applyNumberFormat="1" applyFont="1" applyFill="1" applyBorder="1" applyAlignment="1" applyProtection="1">
      <alignment vertical="center"/>
      <protection locked="0"/>
    </xf>
    <xf numFmtId="0" fontId="52" fillId="4" borderId="0" xfId="0" applyFont="1" applyFill="1" applyAlignment="1">
      <alignment vertical="center"/>
    </xf>
    <xf numFmtId="0" fontId="11" fillId="4" borderId="2" xfId="0" applyFont="1" applyFill="1" applyBorder="1" applyAlignment="1">
      <alignment horizontal="left" vertical="center" wrapText="1"/>
    </xf>
    <xf numFmtId="3" fontId="11" fillId="4" borderId="2" xfId="1" applyNumberFormat="1" applyFont="1" applyFill="1" applyBorder="1" applyAlignment="1" applyProtection="1">
      <alignment vertical="center"/>
      <protection locked="0"/>
    </xf>
    <xf numFmtId="0" fontId="10" fillId="4" borderId="2" xfId="0" applyFont="1" applyFill="1" applyBorder="1" applyAlignment="1">
      <alignment horizontal="center" vertical="center"/>
    </xf>
    <xf numFmtId="0" fontId="10" fillId="4" borderId="2" xfId="0" quotePrefix="1" applyFont="1" applyFill="1" applyBorder="1" applyAlignment="1">
      <alignment horizontal="left" vertical="center" wrapText="1"/>
    </xf>
    <xf numFmtId="3" fontId="10" fillId="4" borderId="2" xfId="1" applyNumberFormat="1" applyFont="1" applyFill="1" applyBorder="1" applyAlignment="1" applyProtection="1">
      <alignment vertical="center"/>
      <protection locked="0"/>
    </xf>
    <xf numFmtId="0" fontId="12" fillId="4" borderId="2" xfId="0" applyFont="1" applyFill="1" applyBorder="1" applyAlignment="1">
      <alignment horizontal="left" vertical="center" wrapText="1"/>
    </xf>
    <xf numFmtId="3" fontId="12" fillId="4" borderId="2" xfId="0" applyNumberFormat="1" applyFont="1" applyFill="1" applyBorder="1" applyAlignment="1">
      <alignment vertical="center"/>
    </xf>
    <xf numFmtId="0" fontId="11" fillId="4" borderId="2" xfId="0" quotePrefix="1" applyFont="1" applyFill="1" applyBorder="1" applyAlignment="1">
      <alignment horizontal="left" vertical="center" wrapText="1"/>
    </xf>
    <xf numFmtId="3" fontId="10" fillId="4" borderId="2" xfId="0" quotePrefix="1" applyNumberFormat="1" applyFont="1" applyFill="1" applyBorder="1" applyAlignment="1">
      <alignment vertical="center" wrapText="1"/>
    </xf>
    <xf numFmtId="3" fontId="10" fillId="4" borderId="2" xfId="0" quotePrefix="1" applyNumberFormat="1" applyFont="1" applyFill="1" applyBorder="1" applyAlignment="1">
      <alignment horizontal="center" vertical="center" wrapText="1"/>
    </xf>
    <xf numFmtId="3" fontId="12" fillId="4" borderId="2" xfId="3" applyNumberFormat="1" applyFont="1" applyFill="1" applyBorder="1" applyAlignment="1">
      <alignment vertical="center" wrapText="1"/>
    </xf>
    <xf numFmtId="3" fontId="12" fillId="4" borderId="2" xfId="3" applyNumberFormat="1" applyFont="1" applyFill="1" applyBorder="1" applyAlignment="1">
      <alignment horizontal="center" vertical="center" wrapText="1"/>
    </xf>
    <xf numFmtId="3" fontId="12" fillId="4" borderId="2" xfId="1" applyNumberFormat="1" applyFont="1" applyFill="1" applyBorder="1" applyAlignment="1" applyProtection="1">
      <alignment vertical="center"/>
      <protection locked="0"/>
    </xf>
    <xf numFmtId="0" fontId="12" fillId="4" borderId="2" xfId="0" applyFont="1" applyFill="1" applyBorder="1" applyAlignment="1">
      <alignment horizontal="center" vertical="center" wrapText="1"/>
    </xf>
    <xf numFmtId="3" fontId="14" fillId="4" borderId="2" xfId="0" applyNumberFormat="1" applyFont="1" applyFill="1" applyBorder="1" applyAlignment="1">
      <alignment horizontal="right" vertical="center"/>
    </xf>
    <xf numFmtId="3" fontId="11" fillId="4" borderId="2" xfId="0" applyNumberFormat="1" applyFont="1" applyFill="1" applyBorder="1" applyAlignment="1">
      <alignment horizontal="center" vertical="center" wrapText="1"/>
    </xf>
    <xf numFmtId="3" fontId="11" fillId="4" borderId="2" xfId="0" quotePrefix="1" applyNumberFormat="1" applyFont="1" applyFill="1" applyBorder="1" applyAlignment="1">
      <alignment horizontal="center" vertical="center" wrapText="1"/>
    </xf>
    <xf numFmtId="3" fontId="14" fillId="4" borderId="2" xfId="3" applyNumberFormat="1" applyFont="1" applyFill="1" applyBorder="1" applyAlignment="1">
      <alignment vertical="center"/>
    </xf>
    <xf numFmtId="0" fontId="19" fillId="4" borderId="0" xfId="0" applyFont="1" applyFill="1" applyAlignment="1">
      <alignment vertical="center"/>
    </xf>
    <xf numFmtId="0" fontId="14" fillId="4" borderId="2" xfId="0" quotePrefix="1" applyFont="1" applyFill="1" applyBorder="1" applyAlignment="1">
      <alignment horizontal="left" vertical="center" wrapText="1"/>
    </xf>
    <xf numFmtId="3" fontId="14" fillId="4" borderId="2" xfId="0" applyNumberFormat="1" applyFont="1" applyFill="1" applyBorder="1" applyAlignment="1">
      <alignment vertical="center"/>
    </xf>
    <xf numFmtId="0" fontId="14" fillId="4" borderId="0" xfId="0" applyFont="1" applyFill="1" applyAlignment="1">
      <alignment vertical="center"/>
    </xf>
    <xf numFmtId="3" fontId="10" fillId="4" borderId="2" xfId="0" applyNumberFormat="1" applyFont="1" applyFill="1" applyBorder="1" applyAlignment="1">
      <alignment horizontal="right" vertical="center" wrapText="1"/>
    </xf>
    <xf numFmtId="3" fontId="12" fillId="4" borderId="2" xfId="0" applyNumberFormat="1" applyFont="1" applyFill="1" applyBorder="1" applyAlignment="1">
      <alignment horizontal="right" vertical="center" wrapText="1"/>
    </xf>
    <xf numFmtId="3" fontId="14" fillId="4" borderId="2" xfId="0" applyNumberFormat="1" applyFont="1" applyFill="1" applyBorder="1" applyAlignment="1">
      <alignment horizontal="right" vertical="center" wrapText="1"/>
    </xf>
    <xf numFmtId="3" fontId="11" fillId="4" borderId="2" xfId="0" applyNumberFormat="1" applyFont="1" applyFill="1" applyBorder="1" applyAlignment="1">
      <alignment horizontal="right" vertical="center" wrapText="1"/>
    </xf>
    <xf numFmtId="3" fontId="10" fillId="4" borderId="2" xfId="0" applyNumberFormat="1" applyFont="1" applyFill="1" applyBorder="1" applyAlignment="1">
      <alignment vertical="center" wrapText="1"/>
    </xf>
    <xf numFmtId="3" fontId="10" fillId="4" borderId="2" xfId="0" applyNumberFormat="1" applyFont="1" applyFill="1" applyBorder="1" applyAlignment="1">
      <alignment horizontal="center" vertical="center" wrapText="1"/>
    </xf>
    <xf numFmtId="3" fontId="12" fillId="4" borderId="2" xfId="0" applyNumberFormat="1" applyFont="1" applyFill="1" applyBorder="1" applyAlignment="1">
      <alignment vertical="center" wrapText="1"/>
    </xf>
    <xf numFmtId="3" fontId="12" fillId="4" borderId="2" xfId="3" applyNumberFormat="1" applyFont="1" applyFill="1" applyBorder="1" applyAlignment="1">
      <alignment vertical="center"/>
    </xf>
    <xf numFmtId="3" fontId="11" fillId="4" borderId="2" xfId="3" applyNumberFormat="1" applyFont="1" applyFill="1" applyBorder="1" applyAlignment="1">
      <alignment vertical="center"/>
    </xf>
    <xf numFmtId="3" fontId="12" fillId="4" borderId="2" xfId="0" quotePrefix="1" applyNumberFormat="1" applyFont="1" applyFill="1" applyBorder="1" applyAlignment="1">
      <alignment vertical="center" wrapText="1"/>
    </xf>
    <xf numFmtId="0" fontId="12" fillId="4" borderId="2" xfId="0" quotePrefix="1" applyFont="1" applyFill="1" applyBorder="1" applyAlignment="1">
      <alignment horizontal="left" vertical="center" wrapText="1"/>
    </xf>
    <xf numFmtId="3" fontId="10" fillId="4" borderId="2" xfId="0" applyNumberFormat="1" applyFont="1" applyFill="1" applyBorder="1" applyAlignment="1">
      <alignment horizontal="right" vertical="center"/>
    </xf>
    <xf numFmtId="0" fontId="12" fillId="4" borderId="2" xfId="0" applyFont="1" applyFill="1" applyBorder="1" applyAlignment="1">
      <alignment vertical="center" wrapText="1"/>
    </xf>
    <xf numFmtId="0" fontId="12" fillId="4" borderId="2" xfId="0" quotePrefix="1" applyFont="1" applyFill="1" applyBorder="1" applyAlignment="1">
      <alignment vertical="center" wrapText="1"/>
    </xf>
    <xf numFmtId="3" fontId="11" fillId="4" borderId="2" xfId="0" quotePrefix="1" applyNumberFormat="1" applyFont="1" applyFill="1" applyBorder="1" applyAlignment="1">
      <alignment vertical="center" wrapText="1"/>
    </xf>
    <xf numFmtId="0" fontId="11" fillId="4" borderId="2" xfId="4" applyFont="1" applyFill="1" applyBorder="1" applyAlignment="1">
      <alignment horizontal="left" vertical="center" wrapText="1"/>
    </xf>
    <xf numFmtId="0" fontId="18" fillId="4" borderId="2" xfId="4" applyFont="1" applyFill="1" applyBorder="1" applyAlignment="1">
      <alignment horizontal="center" vertical="center" wrapText="1"/>
    </xf>
    <xf numFmtId="3" fontId="11" fillId="4" borderId="2" xfId="0" applyNumberFormat="1" applyFont="1" applyFill="1" applyBorder="1" applyAlignment="1">
      <alignment vertical="center" wrapText="1"/>
    </xf>
    <xf numFmtId="2" fontId="10" fillId="4" borderId="2" xfId="0" quotePrefix="1" applyNumberFormat="1" applyFont="1" applyFill="1" applyBorder="1" applyAlignment="1">
      <alignment vertical="center" wrapText="1"/>
    </xf>
    <xf numFmtId="2" fontId="10" fillId="4" borderId="2" xfId="0" quotePrefix="1" applyNumberFormat="1" applyFont="1" applyFill="1" applyBorder="1" applyAlignment="1">
      <alignment horizontal="center" vertical="center" wrapText="1"/>
    </xf>
    <xf numFmtId="0" fontId="12" fillId="4" borderId="2" xfId="0" applyFont="1" applyFill="1" applyBorder="1" applyAlignment="1">
      <alignment horizontal="center" vertical="center"/>
    </xf>
    <xf numFmtId="0" fontId="10" fillId="4" borderId="2" xfId="0" applyFont="1" applyFill="1" applyBorder="1" applyAlignment="1">
      <alignment horizontal="left" vertical="center" wrapText="1"/>
    </xf>
    <xf numFmtId="167" fontId="11" fillId="4" borderId="2" xfId="0" applyNumberFormat="1" applyFont="1" applyFill="1" applyBorder="1" applyAlignment="1">
      <alignment vertical="center"/>
    </xf>
    <xf numFmtId="167" fontId="10" fillId="4" borderId="2" xfId="1" applyNumberFormat="1" applyFont="1" applyFill="1" applyBorder="1" applyAlignment="1">
      <alignment vertical="center"/>
    </xf>
    <xf numFmtId="0" fontId="11" fillId="4" borderId="1" xfId="0" applyFont="1" applyFill="1" applyBorder="1" applyAlignment="1">
      <alignment horizontal="center" vertical="center"/>
    </xf>
    <xf numFmtId="0" fontId="10" fillId="4" borderId="1" xfId="0" quotePrefix="1" applyFont="1" applyFill="1" applyBorder="1" applyAlignment="1">
      <alignment horizontal="left" vertical="center" wrapText="1"/>
    </xf>
    <xf numFmtId="0" fontId="10" fillId="4" borderId="1" xfId="0" quotePrefix="1" applyFont="1" applyFill="1" applyBorder="1" applyAlignment="1">
      <alignment horizontal="center" vertical="center" wrapText="1"/>
    </xf>
    <xf numFmtId="3" fontId="10" fillId="4" borderId="1" xfId="3" applyNumberFormat="1" applyFont="1" applyFill="1" applyBorder="1" applyAlignment="1">
      <alignment vertical="center"/>
    </xf>
    <xf numFmtId="3" fontId="11" fillId="4" borderId="12" xfId="0" applyNumberFormat="1" applyFont="1" applyFill="1" applyBorder="1" applyAlignment="1">
      <alignment vertical="center"/>
    </xf>
    <xf numFmtId="3" fontId="12" fillId="4" borderId="2" xfId="0" quotePrefix="1" applyNumberFormat="1"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2" xfId="0" applyFont="1" applyFill="1" applyBorder="1" applyAlignment="1">
      <alignment vertical="center" wrapText="1"/>
    </xf>
    <xf numFmtId="0" fontId="11" fillId="5" borderId="2" xfId="0" applyFont="1" applyFill="1" applyBorder="1" applyAlignment="1">
      <alignment horizontal="center" vertical="center" wrapText="1"/>
    </xf>
    <xf numFmtId="3" fontId="11" fillId="5" borderId="2" xfId="1" applyNumberFormat="1" applyFont="1" applyFill="1" applyBorder="1" applyAlignment="1">
      <alignment vertical="center"/>
    </xf>
    <xf numFmtId="0" fontId="10" fillId="5" borderId="2" xfId="0" quotePrefix="1" applyFont="1" applyFill="1" applyBorder="1" applyAlignment="1">
      <alignment horizontal="left" vertical="center" wrapText="1"/>
    </xf>
    <xf numFmtId="0" fontId="10" fillId="5" borderId="2" xfId="0" quotePrefix="1" applyFont="1" applyFill="1" applyBorder="1" applyAlignment="1">
      <alignment horizontal="center" vertical="center" wrapText="1"/>
    </xf>
    <xf numFmtId="3" fontId="10" fillId="5" borderId="2" xfId="1" applyNumberFormat="1" applyFont="1" applyFill="1" applyBorder="1" applyAlignment="1" applyProtection="1">
      <alignment vertical="center"/>
      <protection locked="0"/>
    </xf>
    <xf numFmtId="0" fontId="10" fillId="5" borderId="0" xfId="0" applyFont="1" applyFill="1" applyAlignment="1">
      <alignment vertical="center"/>
    </xf>
    <xf numFmtId="0" fontId="10" fillId="5" borderId="2" xfId="0" applyFont="1" applyFill="1" applyBorder="1" applyAlignment="1">
      <alignment horizontal="center" vertical="center"/>
    </xf>
    <xf numFmtId="3" fontId="10" fillId="5" borderId="2" xfId="0" applyNumberFormat="1" applyFont="1" applyFill="1" applyBorder="1" applyAlignment="1">
      <alignment horizontal="right" vertical="center" wrapText="1"/>
    </xf>
    <xf numFmtId="3" fontId="10" fillId="5" borderId="2" xfId="0" applyNumberFormat="1" applyFont="1" applyFill="1" applyBorder="1" applyAlignment="1">
      <alignment vertical="center"/>
    </xf>
    <xf numFmtId="0" fontId="14" fillId="5" borderId="2" xfId="0" applyFont="1" applyFill="1" applyBorder="1" applyAlignment="1">
      <alignment horizontal="center" vertical="center"/>
    </xf>
    <xf numFmtId="0" fontId="12" fillId="5" borderId="0" xfId="0" applyFont="1" applyFill="1" applyAlignment="1">
      <alignment vertical="center"/>
    </xf>
    <xf numFmtId="0" fontId="11" fillId="2" borderId="2" xfId="0" applyFont="1" applyFill="1" applyBorder="1" applyAlignment="1">
      <alignment horizontal="center" vertical="center"/>
    </xf>
    <xf numFmtId="0" fontId="11" fillId="2" borderId="2" xfId="0" applyFont="1" applyFill="1" applyBorder="1" applyAlignment="1">
      <alignment vertical="center" wrapText="1"/>
    </xf>
    <xf numFmtId="0" fontId="18" fillId="2" borderId="2" xfId="0" applyFont="1" applyFill="1" applyBorder="1" applyAlignment="1">
      <alignment horizontal="center" vertical="center" wrapText="1"/>
    </xf>
    <xf numFmtId="3" fontId="11" fillId="2" borderId="2" xfId="1" applyNumberFormat="1" applyFont="1" applyFill="1" applyBorder="1" applyAlignment="1">
      <alignment vertical="center"/>
    </xf>
    <xf numFmtId="0" fontId="11" fillId="2" borderId="2" xfId="0" applyFont="1" applyFill="1" applyBorder="1" applyAlignment="1">
      <alignment horizontal="center" vertical="center" wrapText="1"/>
    </xf>
    <xf numFmtId="0" fontId="11" fillId="2" borderId="2" xfId="0" quotePrefix="1" applyFont="1" applyFill="1" applyBorder="1" applyAlignment="1">
      <alignment horizontal="center" vertical="center" wrapText="1"/>
    </xf>
    <xf numFmtId="0" fontId="11" fillId="2" borderId="2" xfId="0" applyFont="1" applyFill="1" applyBorder="1" applyAlignment="1">
      <alignment horizontal="left" vertical="center" wrapText="1"/>
    </xf>
    <xf numFmtId="3" fontId="54" fillId="4" borderId="0" xfId="0" applyNumberFormat="1" applyFont="1" applyFill="1" applyAlignment="1">
      <alignment vertical="center"/>
    </xf>
    <xf numFmtId="3" fontId="18" fillId="4" borderId="0" xfId="0" applyNumberFormat="1" applyFont="1" applyFill="1" applyAlignment="1">
      <alignment vertical="center"/>
    </xf>
    <xf numFmtId="3" fontId="55" fillId="4" borderId="0" xfId="0" applyNumberFormat="1" applyFont="1" applyFill="1" applyAlignment="1">
      <alignment vertical="center"/>
    </xf>
    <xf numFmtId="3" fontId="56" fillId="4" borderId="0" xfId="0" applyNumberFormat="1" applyFont="1" applyFill="1" applyAlignment="1">
      <alignment vertical="center"/>
    </xf>
    <xf numFmtId="3" fontId="57" fillId="4" borderId="0" xfId="0" applyNumberFormat="1" applyFont="1" applyFill="1" applyAlignment="1">
      <alignment vertical="center"/>
    </xf>
    <xf numFmtId="3" fontId="58" fillId="4" borderId="0" xfId="0" applyNumberFormat="1" applyFont="1" applyFill="1" applyAlignment="1">
      <alignment vertical="center"/>
    </xf>
    <xf numFmtId="3" fontId="59" fillId="4" borderId="0" xfId="0" applyNumberFormat="1" applyFont="1" applyFill="1" applyAlignment="1">
      <alignment vertical="center"/>
    </xf>
    <xf numFmtId="3" fontId="60" fillId="4" borderId="0" xfId="0" applyNumberFormat="1" applyFont="1" applyFill="1" applyAlignment="1">
      <alignment vertical="center"/>
    </xf>
    <xf numFmtId="3" fontId="54" fillId="5" borderId="0" xfId="0" applyNumberFormat="1" applyFont="1" applyFill="1" applyAlignment="1">
      <alignment vertical="center"/>
    </xf>
    <xf numFmtId="3" fontId="55" fillId="5" borderId="0" xfId="0" applyNumberFormat="1" applyFont="1" applyFill="1" applyAlignment="1">
      <alignment vertical="center"/>
    </xf>
    <xf numFmtId="0" fontId="62" fillId="4" borderId="13" xfId="6" quotePrefix="1" applyFont="1" applyFill="1" applyBorder="1" applyAlignment="1" applyProtection="1">
      <alignment horizontal="left" vertical="center" wrapText="1"/>
      <protection hidden="1"/>
    </xf>
    <xf numFmtId="0" fontId="64" fillId="0" borderId="2" xfId="0" applyFont="1" applyBorder="1" applyAlignment="1">
      <alignment horizontal="center" vertical="center"/>
    </xf>
    <xf numFmtId="0" fontId="64" fillId="0" borderId="2" xfId="0" applyFont="1" applyBorder="1" applyAlignment="1">
      <alignment vertical="center" wrapText="1"/>
    </xf>
    <xf numFmtId="0" fontId="65" fillId="0" borderId="2" xfId="0" applyFont="1" applyBorder="1" applyAlignment="1">
      <alignment horizontal="center" vertical="center"/>
    </xf>
    <xf numFmtId="0" fontId="65" fillId="0" borderId="2" xfId="0" applyFont="1" applyBorder="1" applyAlignment="1">
      <alignment vertical="center" wrapText="1"/>
    </xf>
    <xf numFmtId="0" fontId="11" fillId="0" borderId="2" xfId="0" applyFont="1" applyBorder="1" applyAlignment="1">
      <alignment horizontal="center" vertical="center"/>
    </xf>
    <xf numFmtId="0" fontId="11" fillId="0" borderId="2" xfId="0" quotePrefix="1" applyFont="1" applyBorder="1" applyAlignment="1">
      <alignment vertical="center" wrapText="1"/>
    </xf>
    <xf numFmtId="0" fontId="10" fillId="0" borderId="2" xfId="0" applyFont="1" applyBorder="1" applyAlignment="1">
      <alignment vertical="center" wrapText="1"/>
    </xf>
    <xf numFmtId="0" fontId="10" fillId="0" borderId="2" xfId="0" applyFont="1" applyBorder="1" applyAlignment="1">
      <alignment horizontal="center" vertical="center"/>
    </xf>
    <xf numFmtId="0" fontId="66" fillId="0" borderId="2" xfId="0" applyFont="1" applyBorder="1" applyAlignment="1">
      <alignment horizontal="center" vertical="center"/>
    </xf>
    <xf numFmtId="0" fontId="66" fillId="0" borderId="2" xfId="0" applyFont="1" applyBorder="1" applyAlignment="1">
      <alignment vertical="center" wrapText="1"/>
    </xf>
    <xf numFmtId="0" fontId="12" fillId="0" borderId="2" xfId="0" applyFont="1" applyBorder="1" applyAlignment="1">
      <alignment horizontal="center" vertical="center"/>
    </xf>
    <xf numFmtId="0" fontId="67" fillId="0" borderId="2" xfId="0" applyFont="1" applyBorder="1" applyAlignment="1">
      <alignment horizontal="center" vertical="center"/>
    </xf>
    <xf numFmtId="0" fontId="67" fillId="0" borderId="2" xfId="0" applyFont="1" applyBorder="1" applyAlignment="1">
      <alignment vertical="center" wrapText="1"/>
    </xf>
    <xf numFmtId="0" fontId="10" fillId="0" borderId="2" xfId="0" quotePrefix="1" applyFont="1" applyBorder="1" applyAlignment="1">
      <alignment vertical="center" wrapText="1"/>
    </xf>
    <xf numFmtId="0" fontId="67" fillId="0" borderId="2" xfId="0" applyFont="1" applyBorder="1" applyAlignment="1">
      <alignment horizontal="left" vertical="top" wrapText="1"/>
    </xf>
    <xf numFmtId="0" fontId="64" fillId="0" borderId="2" xfId="4" applyFont="1" applyBorder="1" applyAlignment="1">
      <alignment horizontal="left" vertical="center" wrapText="1"/>
    </xf>
    <xf numFmtId="0" fontId="62" fillId="4" borderId="0" xfId="2" quotePrefix="1" applyFont="1" applyFill="1" applyAlignment="1">
      <alignment horizontal="left" vertical="center" wrapText="1"/>
    </xf>
    <xf numFmtId="3" fontId="10" fillId="4" borderId="2" xfId="1" applyNumberFormat="1" applyFont="1" applyFill="1" applyBorder="1" applyAlignment="1">
      <alignment vertical="center"/>
    </xf>
    <xf numFmtId="0" fontId="62" fillId="4" borderId="13" xfId="6" applyFont="1" applyFill="1" applyBorder="1" applyAlignment="1" applyProtection="1">
      <alignment horizontal="left" vertical="center" wrapText="1"/>
      <protection hidden="1"/>
    </xf>
    <xf numFmtId="0" fontId="170" fillId="0" borderId="2" xfId="0" applyFont="1" applyBorder="1" applyAlignment="1">
      <alignment horizontal="center" vertical="center"/>
    </xf>
    <xf numFmtId="0" fontId="171" fillId="4" borderId="13" xfId="2" applyFont="1" applyFill="1" applyBorder="1" applyAlignment="1">
      <alignment horizontal="left" vertical="center" wrapText="1"/>
    </xf>
    <xf numFmtId="0" fontId="170" fillId="4" borderId="2" xfId="0" applyFont="1" applyFill="1" applyBorder="1" applyAlignment="1">
      <alignment horizontal="center" vertical="center" wrapText="1"/>
    </xf>
    <xf numFmtId="0" fontId="170" fillId="4" borderId="2" xfId="0" quotePrefix="1" applyFont="1" applyFill="1" applyBorder="1" applyAlignment="1">
      <alignment horizontal="center" vertical="center" wrapText="1"/>
    </xf>
    <xf numFmtId="3" fontId="170" fillId="4" borderId="2" xfId="1" applyNumberFormat="1" applyFont="1" applyFill="1" applyBorder="1" applyAlignment="1">
      <alignment vertical="center"/>
    </xf>
    <xf numFmtId="3" fontId="170" fillId="4" borderId="0" xfId="0" applyNumberFormat="1" applyFont="1" applyFill="1" applyAlignment="1">
      <alignment vertical="center"/>
    </xf>
    <xf numFmtId="0" fontId="170" fillId="4" borderId="0" xfId="0" applyFont="1" applyFill="1" applyAlignment="1">
      <alignment vertical="center"/>
    </xf>
    <xf numFmtId="0" fontId="170" fillId="0" borderId="2" xfId="0" quotePrefix="1" applyFont="1" applyBorder="1" applyAlignment="1">
      <alignment vertical="center" wrapText="1"/>
    </xf>
    <xf numFmtId="3" fontId="56" fillId="4" borderId="2" xfId="1" applyNumberFormat="1" applyFont="1" applyFill="1" applyBorder="1" applyAlignment="1">
      <alignment vertical="center"/>
    </xf>
    <xf numFmtId="3" fontId="14" fillId="4" borderId="2" xfId="0" applyNumberFormat="1" applyFont="1" applyFill="1" applyBorder="1" applyAlignment="1">
      <alignment vertical="center" wrapText="1"/>
    </xf>
    <xf numFmtId="3" fontId="14" fillId="4" borderId="2" xfId="0" applyNumberFormat="1" applyFont="1" applyFill="1" applyBorder="1" applyAlignment="1">
      <alignment horizontal="center" vertical="center" wrapText="1"/>
    </xf>
    <xf numFmtId="3" fontId="10" fillId="4" borderId="0" xfId="0" applyNumberFormat="1" applyFont="1" applyFill="1" applyAlignment="1">
      <alignment horizontal="center" vertical="center"/>
    </xf>
    <xf numFmtId="0" fontId="54" fillId="4" borderId="0" xfId="0" applyFont="1" applyFill="1" applyAlignment="1">
      <alignment vertical="center"/>
    </xf>
    <xf numFmtId="0" fontId="55" fillId="4" borderId="0" xfId="0" applyFont="1" applyFill="1" applyAlignment="1">
      <alignment vertical="center"/>
    </xf>
    <xf numFmtId="3" fontId="11" fillId="4" borderId="3" xfId="0" applyNumberFormat="1" applyFont="1" applyFill="1" applyBorder="1" applyAlignment="1">
      <alignment horizontal="center" vertical="center" wrapText="1"/>
    </xf>
    <xf numFmtId="3" fontId="12" fillId="4" borderId="0" xfId="0" applyNumberFormat="1" applyFont="1" applyFill="1" applyAlignment="1">
      <alignment horizontal="right" vertical="center"/>
    </xf>
    <xf numFmtId="4" fontId="172" fillId="4" borderId="3" xfId="344" applyNumberFormat="1" applyFont="1" applyFill="1" applyBorder="1" applyAlignment="1">
      <alignment horizontal="center" vertical="center" wrapText="1"/>
    </xf>
    <xf numFmtId="3" fontId="11" fillId="4" borderId="0" xfId="0" applyNumberFormat="1" applyFont="1" applyFill="1" applyAlignment="1">
      <alignment vertical="center"/>
    </xf>
    <xf numFmtId="4" fontId="10" fillId="4" borderId="0" xfId="0" applyNumberFormat="1" applyFont="1" applyFill="1" applyAlignment="1">
      <alignment horizontal="center" vertical="center"/>
    </xf>
    <xf numFmtId="3" fontId="12" fillId="4" borderId="0" xfId="0" applyNumberFormat="1" applyFont="1" applyFill="1" applyAlignment="1">
      <alignment vertical="center"/>
    </xf>
    <xf numFmtId="0" fontId="11" fillId="2" borderId="0" xfId="0" applyFont="1" applyFill="1" applyAlignment="1">
      <alignment vertical="center"/>
    </xf>
    <xf numFmtId="3" fontId="11" fillId="2" borderId="0" xfId="0" applyNumberFormat="1" applyFont="1" applyFill="1" applyAlignment="1">
      <alignment vertical="center"/>
    </xf>
    <xf numFmtId="0" fontId="14" fillId="57" borderId="0" xfId="0" applyFont="1" applyFill="1" applyAlignment="1">
      <alignment vertical="center"/>
    </xf>
    <xf numFmtId="3" fontId="14" fillId="57" borderId="0" xfId="0" applyNumberFormat="1" applyFont="1" applyFill="1" applyAlignment="1">
      <alignment vertical="center"/>
    </xf>
    <xf numFmtId="168" fontId="175" fillId="4" borderId="0" xfId="544" applyNumberFormat="1" applyFont="1" applyFill="1" applyAlignment="1" applyProtection="1">
      <alignment horizontal="center" vertical="center" wrapText="1"/>
    </xf>
    <xf numFmtId="43" fontId="175" fillId="4" borderId="0" xfId="544" applyFont="1" applyFill="1" applyAlignment="1" applyProtection="1">
      <alignment horizontal="center" vertical="center" wrapText="1"/>
    </xf>
    <xf numFmtId="3" fontId="175" fillId="4" borderId="0" xfId="543" applyNumberFormat="1" applyFont="1" applyFill="1" applyAlignment="1" applyProtection="1">
      <alignment horizontal="center" vertical="center" wrapText="1"/>
    </xf>
    <xf numFmtId="3" fontId="30" fillId="4" borderId="0" xfId="543" applyNumberFormat="1" applyFont="1" applyFill="1" applyAlignment="1" applyProtection="1">
      <alignment vertical="center" wrapText="1"/>
    </xf>
    <xf numFmtId="3" fontId="30" fillId="4" borderId="0" xfId="544" applyNumberFormat="1" applyFont="1" applyFill="1" applyAlignment="1" applyProtection="1">
      <alignment vertical="center" wrapText="1"/>
    </xf>
    <xf numFmtId="0" fontId="30" fillId="4" borderId="0" xfId="543" applyFont="1" applyFill="1" applyAlignment="1" applyProtection="1">
      <alignment vertical="center" wrapText="1"/>
    </xf>
    <xf numFmtId="168" fontId="176" fillId="4" borderId="0" xfId="544" applyNumberFormat="1" applyFont="1" applyFill="1" applyAlignment="1" applyProtection="1">
      <alignment horizontal="center" vertical="center" wrapText="1"/>
    </xf>
    <xf numFmtId="43" fontId="176" fillId="4" borderId="0" xfId="544" applyFont="1" applyFill="1" applyAlignment="1" applyProtection="1">
      <alignment horizontal="center" vertical="center" wrapText="1"/>
    </xf>
    <xf numFmtId="3" fontId="176" fillId="4" borderId="0" xfId="543" applyNumberFormat="1" applyFont="1" applyFill="1" applyAlignment="1" applyProtection="1">
      <alignment horizontal="center" vertical="center" wrapText="1"/>
    </xf>
    <xf numFmtId="168" fontId="177" fillId="4" borderId="0" xfId="544" applyNumberFormat="1" applyFont="1" applyFill="1" applyAlignment="1" applyProtection="1">
      <alignment horizontal="center" vertical="center" wrapText="1"/>
    </xf>
    <xf numFmtId="43" fontId="177" fillId="4" borderId="0" xfId="544" applyFont="1" applyFill="1" applyAlignment="1" applyProtection="1">
      <alignment horizontal="center" vertical="center" wrapText="1"/>
    </xf>
    <xf numFmtId="3" fontId="177" fillId="4" borderId="0" xfId="543" applyNumberFormat="1" applyFont="1" applyFill="1" applyAlignment="1" applyProtection="1">
      <alignment horizontal="center" vertical="center" wrapText="1"/>
    </xf>
    <xf numFmtId="168" fontId="179" fillId="4" borderId="0" xfId="544" applyNumberFormat="1" applyFont="1" applyFill="1" applyAlignment="1" applyProtection="1">
      <alignment horizontal="center" vertical="center" wrapText="1"/>
    </xf>
    <xf numFmtId="43" fontId="179" fillId="4" borderId="0" xfId="544" applyFont="1" applyFill="1" applyAlignment="1" applyProtection="1">
      <alignment horizontal="center" vertical="center" wrapText="1"/>
    </xf>
    <xf numFmtId="3" fontId="179" fillId="4" borderId="0" xfId="543" applyNumberFormat="1" applyFont="1" applyFill="1" applyAlignment="1" applyProtection="1">
      <alignment horizontal="center" vertical="center" wrapText="1"/>
    </xf>
    <xf numFmtId="168" fontId="181" fillId="4" borderId="0" xfId="544" applyNumberFormat="1" applyFont="1" applyFill="1" applyAlignment="1" applyProtection="1">
      <alignment horizontal="center" vertical="center" wrapText="1"/>
    </xf>
    <xf numFmtId="43" fontId="181" fillId="4" borderId="0" xfId="544" applyFont="1" applyFill="1" applyAlignment="1" applyProtection="1">
      <alignment horizontal="center" vertical="center" wrapText="1"/>
    </xf>
    <xf numFmtId="3" fontId="181" fillId="4" borderId="0" xfId="543" applyNumberFormat="1" applyFont="1" applyFill="1" applyAlignment="1" applyProtection="1">
      <alignment horizontal="center" vertical="center" wrapText="1"/>
    </xf>
    <xf numFmtId="168" fontId="182" fillId="4" borderId="0" xfId="544" applyNumberFormat="1" applyFont="1" applyFill="1" applyAlignment="1" applyProtection="1">
      <alignment horizontal="center" vertical="center" wrapText="1"/>
    </xf>
    <xf numFmtId="43" fontId="182" fillId="4" borderId="0" xfId="544" applyFont="1" applyFill="1" applyAlignment="1" applyProtection="1">
      <alignment horizontal="center" vertical="center" wrapText="1"/>
    </xf>
    <xf numFmtId="3" fontId="182" fillId="4" borderId="0" xfId="543" applyNumberFormat="1" applyFont="1" applyFill="1" applyAlignment="1" applyProtection="1">
      <alignment horizontal="center" vertical="center" wrapText="1"/>
    </xf>
    <xf numFmtId="168" fontId="183" fillId="4" borderId="0" xfId="544" applyNumberFormat="1" applyFont="1" applyFill="1" applyAlignment="1" applyProtection="1">
      <alignment horizontal="left" vertical="center" wrapText="1"/>
    </xf>
    <xf numFmtId="43" fontId="183" fillId="4" borderId="0" xfId="544" applyFont="1" applyFill="1" applyAlignment="1" applyProtection="1">
      <alignment horizontal="left" vertical="center" wrapText="1"/>
    </xf>
    <xf numFmtId="3" fontId="183" fillId="4" borderId="0" xfId="543" applyNumberFormat="1" applyFont="1" applyFill="1" applyAlignment="1" applyProtection="1">
      <alignment horizontal="left" vertical="center" wrapText="1"/>
    </xf>
    <xf numFmtId="4" fontId="16" fillId="4" borderId="0" xfId="543" applyNumberFormat="1" applyFont="1" applyFill="1" applyAlignment="1" applyProtection="1">
      <alignment horizontal="right" vertical="center" wrapText="1"/>
    </xf>
    <xf numFmtId="4" fontId="16" fillId="2" borderId="0" xfId="543" applyNumberFormat="1" applyFont="1" applyFill="1" applyAlignment="1" applyProtection="1">
      <alignment horizontal="right" vertical="center" wrapText="1"/>
    </xf>
    <xf numFmtId="168" fontId="184" fillId="4" borderId="0" xfId="544" applyNumberFormat="1" applyFont="1" applyFill="1" applyBorder="1" applyAlignment="1" applyProtection="1">
      <alignment horizontal="right" vertical="center" wrapText="1"/>
    </xf>
    <xf numFmtId="43" fontId="184" fillId="4" borderId="0" xfId="544" applyFont="1" applyFill="1" applyBorder="1" applyAlignment="1" applyProtection="1">
      <alignment horizontal="right" vertical="center" wrapText="1"/>
    </xf>
    <xf numFmtId="3" fontId="184" fillId="4" borderId="0" xfId="543" applyNumberFormat="1" applyFont="1" applyFill="1" applyAlignment="1" applyProtection="1">
      <alignment horizontal="right" vertical="center" wrapText="1"/>
    </xf>
    <xf numFmtId="0" fontId="174" fillId="4" borderId="3" xfId="543" applyFont="1" applyFill="1" applyBorder="1" applyAlignment="1" applyProtection="1">
      <alignment horizontal="center" vertical="center" wrapText="1"/>
    </xf>
    <xf numFmtId="4" fontId="174" fillId="4" borderId="3" xfId="543" applyNumberFormat="1" applyFont="1" applyFill="1" applyBorder="1" applyAlignment="1" applyProtection="1">
      <alignment horizontal="center" vertical="center" wrapText="1"/>
    </xf>
    <xf numFmtId="4" fontId="174" fillId="2" borderId="3" xfId="543" applyNumberFormat="1" applyFont="1" applyFill="1" applyBorder="1" applyAlignment="1" applyProtection="1">
      <alignment horizontal="center" vertical="center" wrapText="1"/>
    </xf>
    <xf numFmtId="168" fontId="181" fillId="4" borderId="0" xfId="544" applyNumberFormat="1" applyFont="1" applyFill="1" applyBorder="1" applyAlignment="1" applyProtection="1">
      <alignment horizontal="center" vertical="center" wrapText="1"/>
    </xf>
    <xf numFmtId="43" fontId="181" fillId="4" borderId="0" xfId="544" applyFont="1" applyFill="1" applyBorder="1" applyAlignment="1" applyProtection="1">
      <alignment horizontal="center" vertical="center" wrapText="1"/>
    </xf>
    <xf numFmtId="3" fontId="53" fillId="4" borderId="3" xfId="544" applyNumberFormat="1" applyFont="1" applyFill="1" applyBorder="1" applyAlignment="1" applyProtection="1">
      <alignment horizontal="center" vertical="center" wrapText="1"/>
    </xf>
    <xf numFmtId="3" fontId="53" fillId="4" borderId="3" xfId="543" applyNumberFormat="1" applyFont="1" applyFill="1" applyBorder="1" applyAlignment="1" applyProtection="1">
      <alignment horizontal="center" vertical="center" wrapText="1"/>
    </xf>
    <xf numFmtId="0" fontId="53" fillId="4" borderId="3" xfId="543" applyFont="1" applyFill="1" applyBorder="1" applyAlignment="1" applyProtection="1">
      <alignment horizontal="center" vertical="center" wrapText="1"/>
    </xf>
    <xf numFmtId="0" fontId="62" fillId="4" borderId="0" xfId="543" applyFont="1" applyFill="1" applyAlignment="1" applyProtection="1">
      <alignment horizontal="center" vertical="center" wrapText="1"/>
    </xf>
    <xf numFmtId="0" fontId="43" fillId="4" borderId="3" xfId="543" applyFont="1" applyFill="1" applyBorder="1" applyAlignment="1" applyProtection="1">
      <alignment horizontal="center" vertical="center" wrapText="1"/>
    </xf>
    <xf numFmtId="3" fontId="178" fillId="4" borderId="3" xfId="543" applyNumberFormat="1" applyFont="1" applyFill="1" applyBorder="1" applyAlignment="1" applyProtection="1">
      <alignment horizontal="center" vertical="center" wrapText="1"/>
    </xf>
    <xf numFmtId="4" fontId="178" fillId="4" borderId="3" xfId="543" quotePrefix="1" applyNumberFormat="1" applyFont="1" applyFill="1" applyBorder="1" applyAlignment="1" applyProtection="1">
      <alignment horizontal="center" vertical="center" wrapText="1"/>
    </xf>
    <xf numFmtId="4" fontId="178" fillId="2" borderId="3" xfId="543" applyNumberFormat="1" applyFont="1" applyFill="1" applyBorder="1" applyAlignment="1" applyProtection="1">
      <alignment horizontal="center" vertical="center" wrapText="1"/>
    </xf>
    <xf numFmtId="4" fontId="178" fillId="4" borderId="3" xfId="543" applyNumberFormat="1" applyFont="1" applyFill="1" applyBorder="1" applyAlignment="1" applyProtection="1">
      <alignment horizontal="center" vertical="center" wrapText="1"/>
    </xf>
    <xf numFmtId="168" fontId="185" fillId="4" borderId="0" xfId="544" applyNumberFormat="1" applyFont="1" applyFill="1" applyBorder="1" applyAlignment="1" applyProtection="1">
      <alignment horizontal="center" vertical="center" wrapText="1"/>
    </xf>
    <xf numFmtId="43" fontId="185" fillId="4" borderId="0" xfId="544" applyFont="1" applyFill="1" applyBorder="1" applyAlignment="1" applyProtection="1">
      <alignment horizontal="center" vertical="center" wrapText="1"/>
    </xf>
    <xf numFmtId="3" fontId="185" fillId="4" borderId="0" xfId="543" applyNumberFormat="1" applyFont="1" applyFill="1" applyAlignment="1" applyProtection="1">
      <alignment horizontal="center" vertical="center" wrapText="1"/>
    </xf>
    <xf numFmtId="3" fontId="30" fillId="4" borderId="3" xfId="544" applyNumberFormat="1" applyFont="1" applyFill="1" applyBorder="1" applyAlignment="1" applyProtection="1">
      <alignment vertical="center" wrapText="1"/>
    </xf>
    <xf numFmtId="3" fontId="30" fillId="4" borderId="3" xfId="543" applyNumberFormat="1" applyFont="1" applyFill="1" applyBorder="1" applyAlignment="1" applyProtection="1">
      <alignment vertical="center" wrapText="1"/>
    </xf>
    <xf numFmtId="0" fontId="30" fillId="4" borderId="3" xfId="543" applyFont="1" applyFill="1" applyBorder="1" applyAlignment="1" applyProtection="1">
      <alignment vertical="center" wrapText="1"/>
    </xf>
    <xf numFmtId="0" fontId="174" fillId="4" borderId="3" xfId="543" applyFont="1" applyFill="1" applyBorder="1" applyAlignment="1" applyProtection="1">
      <alignment vertical="center" wrapText="1"/>
    </xf>
    <xf numFmtId="4" fontId="36" fillId="4" borderId="3" xfId="543" applyNumberFormat="1" applyFont="1" applyFill="1" applyBorder="1" applyAlignment="1" applyProtection="1">
      <alignment horizontal="right" vertical="center" wrapText="1"/>
    </xf>
    <xf numFmtId="4" fontId="178" fillId="4" borderId="3" xfId="543" applyNumberFormat="1" applyFont="1" applyFill="1" applyBorder="1" applyAlignment="1" applyProtection="1">
      <alignment horizontal="right" vertical="center" wrapText="1"/>
    </xf>
    <xf numFmtId="4" fontId="178" fillId="2" borderId="3" xfId="543" applyNumberFormat="1" applyFont="1" applyFill="1" applyBorder="1" applyAlignment="1" applyProtection="1">
      <alignment horizontal="right" vertical="center" wrapText="1"/>
    </xf>
    <xf numFmtId="168" fontId="184" fillId="4" borderId="0" xfId="544" applyNumberFormat="1" applyFont="1" applyFill="1" applyBorder="1" applyAlignment="1" applyProtection="1">
      <alignment horizontal="center" vertical="center" wrapText="1"/>
    </xf>
    <xf numFmtId="43" fontId="184" fillId="4" borderId="0" xfId="544" applyFont="1" applyFill="1" applyBorder="1" applyAlignment="1" applyProtection="1">
      <alignment horizontal="center" vertical="center" wrapText="1"/>
    </xf>
    <xf numFmtId="3" fontId="184" fillId="4" borderId="0" xfId="543" applyNumberFormat="1" applyFont="1" applyFill="1" applyAlignment="1" applyProtection="1">
      <alignment horizontal="center" vertical="center" wrapText="1"/>
    </xf>
    <xf numFmtId="4" fontId="174" fillId="4" borderId="3" xfId="543" applyNumberFormat="1" applyFont="1" applyFill="1" applyBorder="1" applyAlignment="1" applyProtection="1">
      <alignment horizontal="right" vertical="center" wrapText="1"/>
    </xf>
    <xf numFmtId="4" fontId="174" fillId="2" borderId="3" xfId="543" applyNumberFormat="1" applyFont="1" applyFill="1" applyBorder="1" applyAlignment="1" applyProtection="1">
      <alignment horizontal="right" vertical="center" wrapText="1"/>
    </xf>
    <xf numFmtId="168" fontId="181" fillId="4" borderId="0" xfId="544" applyNumberFormat="1" applyFont="1" applyFill="1" applyBorder="1" applyAlignment="1" applyProtection="1">
      <alignment horizontal="right" vertical="center" wrapText="1"/>
    </xf>
    <xf numFmtId="43" fontId="181" fillId="4" borderId="0" xfId="544" applyFont="1" applyFill="1" applyBorder="1" applyAlignment="1" applyProtection="1">
      <alignment horizontal="right" vertical="center" wrapText="1"/>
    </xf>
    <xf numFmtId="3" fontId="181" fillId="4" borderId="0" xfId="543" applyNumberFormat="1" applyFont="1" applyFill="1" applyAlignment="1" applyProtection="1">
      <alignment horizontal="right" vertical="center" wrapText="1"/>
    </xf>
    <xf numFmtId="3" fontId="174" fillId="4" borderId="3" xfId="543" applyNumberFormat="1" applyFont="1" applyFill="1" applyBorder="1" applyAlignment="1" applyProtection="1">
      <alignment vertical="center" wrapText="1"/>
    </xf>
    <xf numFmtId="43" fontId="174" fillId="2" borderId="3" xfId="544" applyFont="1" applyFill="1" applyBorder="1" applyAlignment="1" applyProtection="1">
      <alignment horizontal="right" vertical="center" wrapText="1"/>
    </xf>
    <xf numFmtId="3" fontId="172" fillId="4" borderId="3" xfId="543" applyNumberFormat="1" applyFont="1" applyFill="1" applyBorder="1" applyAlignment="1" applyProtection="1">
      <alignment vertical="center" wrapText="1"/>
    </xf>
    <xf numFmtId="0" fontId="172" fillId="4" borderId="0" xfId="543" applyFont="1" applyFill="1" applyAlignment="1" applyProtection="1">
      <alignment vertical="center" wrapText="1"/>
    </xf>
    <xf numFmtId="0" fontId="16" fillId="4" borderId="3" xfId="543" applyFont="1" applyFill="1" applyBorder="1" applyAlignment="1" applyProtection="1">
      <alignment vertical="center" wrapText="1"/>
    </xf>
    <xf numFmtId="4" fontId="16" fillId="4" borderId="3" xfId="543" applyNumberFormat="1" applyFont="1" applyFill="1" applyBorder="1" applyAlignment="1" applyProtection="1">
      <alignment horizontal="right" vertical="center" wrapText="1"/>
    </xf>
    <xf numFmtId="0" fontId="172" fillId="4" borderId="3" xfId="543" applyFont="1" applyFill="1" applyBorder="1" applyAlignment="1" applyProtection="1">
      <alignment vertical="center" wrapText="1"/>
    </xf>
    <xf numFmtId="0" fontId="16" fillId="4" borderId="3" xfId="543" applyFont="1" applyFill="1" applyBorder="1" applyAlignment="1" applyProtection="1">
      <alignment horizontal="center" vertical="center" wrapText="1"/>
    </xf>
    <xf numFmtId="168" fontId="182" fillId="4" borderId="0" xfId="544" applyNumberFormat="1" applyFont="1" applyFill="1" applyBorder="1" applyAlignment="1" applyProtection="1">
      <alignment horizontal="center" vertical="center" wrapText="1"/>
    </xf>
    <xf numFmtId="43" fontId="182" fillId="4" borderId="0" xfId="544" applyFont="1" applyFill="1" applyBorder="1" applyAlignment="1" applyProtection="1">
      <alignment horizontal="center" vertical="center" wrapText="1"/>
    </xf>
    <xf numFmtId="4" fontId="16" fillId="2" borderId="3" xfId="543" applyNumberFormat="1" applyFont="1" applyFill="1" applyBorder="1" applyAlignment="1" applyProtection="1">
      <alignment horizontal="right" vertical="center" wrapText="1"/>
    </xf>
    <xf numFmtId="168" fontId="182" fillId="4" borderId="0" xfId="544" applyNumberFormat="1" applyFont="1" applyFill="1" applyBorder="1" applyAlignment="1" applyProtection="1">
      <alignment horizontal="right" vertical="center" wrapText="1"/>
    </xf>
    <xf numFmtId="43" fontId="182" fillId="4" borderId="0" xfId="544" applyFont="1" applyFill="1" applyBorder="1" applyAlignment="1" applyProtection="1">
      <alignment horizontal="right" vertical="center" wrapText="1"/>
    </xf>
    <xf numFmtId="3" fontId="182" fillId="4" borderId="0" xfId="543" applyNumberFormat="1" applyFont="1" applyFill="1" applyAlignment="1" applyProtection="1">
      <alignment horizontal="right" vertical="center" wrapText="1"/>
    </xf>
    <xf numFmtId="4" fontId="174" fillId="4" borderId="3" xfId="544" applyNumberFormat="1" applyFont="1" applyFill="1" applyBorder="1" applyAlignment="1" applyProtection="1">
      <alignment horizontal="right" vertical="center" wrapText="1"/>
    </xf>
    <xf numFmtId="43" fontId="174" fillId="4" borderId="3" xfId="544" applyFont="1" applyFill="1" applyBorder="1" applyAlignment="1" applyProtection="1">
      <alignment horizontal="right" vertical="center" wrapText="1"/>
    </xf>
    <xf numFmtId="0" fontId="36" fillId="4" borderId="3" xfId="543" applyFont="1" applyFill="1" applyBorder="1" applyAlignment="1" applyProtection="1">
      <alignment horizontal="center" vertical="center" wrapText="1"/>
    </xf>
    <xf numFmtId="0" fontId="36" fillId="4" borderId="3" xfId="543" applyFont="1" applyFill="1" applyBorder="1" applyAlignment="1" applyProtection="1">
      <alignment vertical="center" wrapText="1"/>
    </xf>
    <xf numFmtId="4" fontId="36" fillId="4" borderId="3" xfId="544" applyNumberFormat="1" applyFont="1" applyFill="1" applyBorder="1" applyAlignment="1" applyProtection="1">
      <alignment horizontal="right" vertical="center" wrapText="1"/>
    </xf>
    <xf numFmtId="43" fontId="36" fillId="4" borderId="3" xfId="544" applyFont="1" applyFill="1" applyBorder="1" applyAlignment="1" applyProtection="1">
      <alignment horizontal="right" vertical="center" wrapText="1"/>
    </xf>
    <xf numFmtId="43" fontId="36" fillId="2" borderId="3" xfId="544" applyFont="1" applyFill="1" applyBorder="1" applyAlignment="1" applyProtection="1">
      <alignment horizontal="right" vertical="center" wrapText="1"/>
    </xf>
    <xf numFmtId="4" fontId="16" fillId="4" borderId="3" xfId="544" applyNumberFormat="1" applyFont="1" applyFill="1" applyBorder="1" applyAlignment="1" applyProtection="1">
      <alignment horizontal="right" vertical="center" wrapText="1"/>
    </xf>
    <xf numFmtId="43" fontId="16" fillId="4" borderId="3" xfId="544" applyFont="1" applyFill="1" applyBorder="1" applyAlignment="1" applyProtection="1">
      <alignment horizontal="right" vertical="center" wrapText="1"/>
    </xf>
    <xf numFmtId="43" fontId="16" fillId="2" borderId="3" xfId="544" applyFont="1" applyFill="1" applyBorder="1" applyAlignment="1" applyProtection="1">
      <alignment horizontal="right" vertical="center" wrapText="1"/>
    </xf>
    <xf numFmtId="3" fontId="172" fillId="4" borderId="3" xfId="544" applyNumberFormat="1" applyFont="1" applyFill="1" applyBorder="1" applyAlignment="1" applyProtection="1">
      <alignment vertical="center" wrapText="1"/>
    </xf>
    <xf numFmtId="3" fontId="172" fillId="4" borderId="3" xfId="543" applyNumberFormat="1" applyFont="1" applyFill="1" applyBorder="1" applyAlignment="1" applyProtection="1">
      <alignment horizontal="right" vertical="center" wrapText="1"/>
    </xf>
    <xf numFmtId="168" fontId="172" fillId="4" borderId="3" xfId="544" applyNumberFormat="1" applyFont="1" applyFill="1" applyBorder="1" applyAlignment="1" applyProtection="1">
      <alignment vertical="center" wrapText="1"/>
    </xf>
    <xf numFmtId="3" fontId="181" fillId="4" borderId="3" xfId="543" applyNumberFormat="1" applyFont="1" applyFill="1" applyBorder="1"/>
    <xf numFmtId="0" fontId="178" fillId="4" borderId="3" xfId="543" applyFont="1" applyFill="1" applyBorder="1" applyAlignment="1" applyProtection="1">
      <alignment horizontal="center" vertical="center" wrapText="1"/>
    </xf>
    <xf numFmtId="0" fontId="178" fillId="4" borderId="3" xfId="543" applyFont="1" applyFill="1" applyBorder="1" applyAlignment="1" applyProtection="1">
      <alignment vertical="center" wrapText="1"/>
    </xf>
    <xf numFmtId="3" fontId="174" fillId="4" borderId="33" xfId="543" applyNumberFormat="1" applyFont="1" applyFill="1" applyBorder="1" applyAlignment="1" applyProtection="1">
      <alignment horizontal="right" vertical="center" wrapText="1"/>
    </xf>
    <xf numFmtId="43" fontId="186" fillId="4" borderId="0" xfId="544" applyFont="1" applyFill="1" applyAlignment="1" applyProtection="1">
      <alignment vertical="center" wrapText="1"/>
    </xf>
    <xf numFmtId="3" fontId="186" fillId="4" borderId="0" xfId="543" applyNumberFormat="1" applyFont="1" applyFill="1" applyAlignment="1" applyProtection="1">
      <alignment vertical="center" wrapText="1"/>
    </xf>
    <xf numFmtId="168" fontId="187" fillId="4" borderId="0" xfId="544" applyNumberFormat="1" applyFont="1" applyFill="1" applyAlignment="1" applyProtection="1">
      <alignment horizontal="center" vertical="center" wrapText="1"/>
    </xf>
    <xf numFmtId="43" fontId="187" fillId="4" borderId="0" xfId="544" applyFont="1" applyFill="1" applyAlignment="1" applyProtection="1">
      <alignment horizontal="center" vertical="center" wrapText="1"/>
    </xf>
    <xf numFmtId="3" fontId="187" fillId="4" borderId="0" xfId="543" applyNumberFormat="1" applyFont="1" applyFill="1" applyAlignment="1" applyProtection="1">
      <alignment horizontal="center" vertical="center" wrapText="1"/>
    </xf>
    <xf numFmtId="3" fontId="188" fillId="4" borderId="0" xfId="543" applyNumberFormat="1" applyFont="1" applyFill="1" applyAlignment="1" applyProtection="1">
      <alignment vertical="center" wrapText="1"/>
    </xf>
    <xf numFmtId="168" fontId="186" fillId="4" borderId="0" xfId="544" applyNumberFormat="1" applyFont="1" applyFill="1" applyAlignment="1" applyProtection="1">
      <alignment vertical="center" wrapText="1"/>
    </xf>
    <xf numFmtId="0" fontId="62" fillId="4" borderId="0" xfId="543" applyFont="1" applyFill="1" applyAlignment="1" applyProtection="1">
      <alignment vertical="center" wrapText="1"/>
    </xf>
    <xf numFmtId="0" fontId="60" fillId="4" borderId="0" xfId="0" applyFont="1" applyFill="1" applyAlignment="1">
      <alignment vertical="center"/>
    </xf>
    <xf numFmtId="0" fontId="189" fillId="4" borderId="0" xfId="0" applyFont="1" applyFill="1" applyAlignment="1">
      <alignment vertical="center"/>
    </xf>
    <xf numFmtId="3" fontId="189" fillId="4" borderId="0" xfId="0" applyNumberFormat="1" applyFont="1" applyFill="1" applyAlignment="1">
      <alignment vertical="center"/>
    </xf>
    <xf numFmtId="4" fontId="10" fillId="4" borderId="0" xfId="0" applyNumberFormat="1" applyFont="1" applyFill="1" applyAlignment="1">
      <alignment vertical="center"/>
    </xf>
    <xf numFmtId="4" fontId="11" fillId="57" borderId="0" xfId="0" applyNumberFormat="1" applyFont="1" applyFill="1" applyAlignment="1">
      <alignment vertical="center"/>
    </xf>
    <xf numFmtId="4" fontId="11" fillId="2" borderId="0" xfId="0" applyNumberFormat="1" applyFont="1" applyFill="1" applyAlignment="1">
      <alignment vertical="center"/>
    </xf>
    <xf numFmtId="4" fontId="12" fillId="4" borderId="0" xfId="0" applyNumberFormat="1" applyFont="1" applyFill="1" applyAlignment="1">
      <alignment vertical="center"/>
    </xf>
    <xf numFmtId="4" fontId="11" fillId="4" borderId="0" xfId="0" applyNumberFormat="1" applyFont="1" applyFill="1" applyAlignment="1">
      <alignment vertical="center"/>
    </xf>
    <xf numFmtId="4" fontId="18" fillId="4" borderId="0" xfId="0" applyNumberFormat="1" applyFont="1" applyFill="1" applyAlignment="1">
      <alignment vertical="center"/>
    </xf>
    <xf numFmtId="4" fontId="52" fillId="4" borderId="0" xfId="0" applyNumberFormat="1" applyFont="1" applyFill="1" applyAlignment="1">
      <alignment vertical="center"/>
    </xf>
    <xf numFmtId="4" fontId="55" fillId="4" borderId="0" xfId="0" applyNumberFormat="1" applyFont="1" applyFill="1" applyAlignment="1">
      <alignment vertical="center"/>
    </xf>
    <xf numFmtId="4" fontId="54" fillId="4" borderId="0" xfId="0" applyNumberFormat="1" applyFont="1" applyFill="1" applyAlignment="1">
      <alignment vertical="center"/>
    </xf>
    <xf numFmtId="4" fontId="19" fillId="4" borderId="0" xfId="0" applyNumberFormat="1" applyFont="1" applyFill="1" applyAlignment="1">
      <alignment vertical="center"/>
    </xf>
    <xf numFmtId="4" fontId="14" fillId="4" borderId="0" xfId="0" applyNumberFormat="1" applyFont="1" applyFill="1" applyAlignment="1">
      <alignment vertical="center"/>
    </xf>
    <xf numFmtId="4" fontId="60" fillId="4" borderId="0" xfId="0" applyNumberFormat="1" applyFont="1" applyFill="1" applyAlignment="1">
      <alignment vertical="center"/>
    </xf>
    <xf numFmtId="3" fontId="190" fillId="4" borderId="0" xfId="0" applyNumberFormat="1" applyFont="1" applyFill="1" applyAlignment="1">
      <alignment vertical="center"/>
    </xf>
    <xf numFmtId="4" fontId="189" fillId="4" borderId="0" xfId="0" applyNumberFormat="1" applyFont="1" applyFill="1" applyAlignment="1">
      <alignment vertical="center"/>
    </xf>
    <xf numFmtId="0" fontId="190" fillId="4" borderId="0" xfId="0" applyFont="1" applyFill="1" applyAlignment="1">
      <alignment vertical="center"/>
    </xf>
    <xf numFmtId="0" fontId="56" fillId="4" borderId="0" xfId="0" applyFont="1" applyFill="1" applyAlignment="1">
      <alignment vertical="center"/>
    </xf>
    <xf numFmtId="4" fontId="56" fillId="4" borderId="0" xfId="0" applyNumberFormat="1" applyFont="1" applyFill="1" applyAlignment="1">
      <alignment vertical="center"/>
    </xf>
    <xf numFmtId="3" fontId="191" fillId="0" borderId="3" xfId="0" applyNumberFormat="1" applyFont="1" applyBorder="1" applyAlignment="1">
      <alignment vertical="center" wrapText="1"/>
    </xf>
    <xf numFmtId="4" fontId="181" fillId="4" borderId="3" xfId="543" applyNumberFormat="1" applyFont="1" applyFill="1" applyBorder="1" applyAlignment="1" applyProtection="1">
      <alignment horizontal="right" vertical="center" wrapText="1"/>
    </xf>
    <xf numFmtId="4" fontId="182" fillId="4" borderId="3" xfId="543" applyNumberFormat="1" applyFont="1" applyFill="1" applyBorder="1" applyAlignment="1" applyProtection="1">
      <alignment horizontal="right" vertical="center" wrapText="1"/>
    </xf>
    <xf numFmtId="43" fontId="10" fillId="4" borderId="0" xfId="5" applyFont="1" applyFill="1" applyAlignment="1">
      <alignment vertical="center"/>
    </xf>
    <xf numFmtId="43" fontId="10" fillId="4" borderId="0" xfId="0" applyNumberFormat="1" applyFont="1" applyFill="1" applyAlignment="1">
      <alignment vertical="center"/>
    </xf>
    <xf numFmtId="0" fontId="10" fillId="4"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53" fillId="58" borderId="3" xfId="543" applyFont="1" applyFill="1" applyBorder="1" applyAlignment="1" applyProtection="1">
      <alignment horizontal="center" vertical="center" wrapText="1"/>
    </xf>
    <xf numFmtId="0" fontId="53" fillId="58" borderId="3" xfId="543" applyFont="1" applyFill="1" applyBorder="1" applyAlignment="1" applyProtection="1">
      <alignment vertical="center" wrapText="1"/>
    </xf>
    <xf numFmtId="0" fontId="53" fillId="4" borderId="3" xfId="543" applyFont="1" applyFill="1" applyBorder="1" applyAlignment="1" applyProtection="1">
      <alignment vertical="center" wrapText="1"/>
    </xf>
    <xf numFmtId="0" fontId="62" fillId="4" borderId="3" xfId="543" applyFont="1" applyFill="1" applyBorder="1" applyAlignment="1" applyProtection="1">
      <alignment vertical="center" wrapText="1"/>
    </xf>
    <xf numFmtId="0" fontId="62" fillId="4" borderId="3" xfId="543" applyFont="1" applyFill="1" applyBorder="1" applyAlignment="1" applyProtection="1">
      <alignment horizontal="center" vertical="center" wrapText="1"/>
    </xf>
    <xf numFmtId="0" fontId="53" fillId="59" borderId="3" xfId="543" applyFont="1" applyFill="1" applyBorder="1" applyAlignment="1" applyProtection="1">
      <alignment horizontal="center" vertical="center" wrapText="1"/>
    </xf>
    <xf numFmtId="0" fontId="53" fillId="59" borderId="3" xfId="543" applyFont="1" applyFill="1" applyBorder="1" applyAlignment="1" applyProtection="1">
      <alignment vertical="center" wrapText="1"/>
    </xf>
    <xf numFmtId="0" fontId="53" fillId="51" borderId="3" xfId="543" applyFont="1" applyFill="1" applyBorder="1" applyAlignment="1" applyProtection="1">
      <alignment horizontal="center" vertical="center" wrapText="1"/>
    </xf>
    <xf numFmtId="0" fontId="53" fillId="51" borderId="3" xfId="543" applyFont="1" applyFill="1" applyBorder="1" applyAlignment="1" applyProtection="1">
      <alignment vertical="center" wrapText="1"/>
    </xf>
    <xf numFmtId="0" fontId="62" fillId="4" borderId="3" xfId="0" applyFont="1" applyFill="1" applyBorder="1" applyAlignment="1">
      <alignment horizontal="center" vertical="center" wrapText="1"/>
    </xf>
    <xf numFmtId="0" fontId="53" fillId="51" borderId="3" xfId="0" applyFont="1" applyFill="1" applyBorder="1" applyAlignment="1">
      <alignment horizontal="center" vertical="center" wrapText="1"/>
    </xf>
    <xf numFmtId="0" fontId="53" fillId="59" borderId="3" xfId="0" applyFont="1" applyFill="1" applyBorder="1" applyAlignment="1">
      <alignment horizontal="center" vertical="center" wrapText="1"/>
    </xf>
    <xf numFmtId="0" fontId="53" fillId="59" borderId="3" xfId="0" applyFont="1" applyFill="1" applyBorder="1" applyAlignment="1">
      <alignment horizontal="left" vertical="center" wrapText="1"/>
    </xf>
    <xf numFmtId="0" fontId="53" fillId="4" borderId="3" xfId="0" applyFont="1" applyFill="1" applyBorder="1" applyAlignment="1">
      <alignment horizontal="center" vertical="center" wrapText="1"/>
    </xf>
    <xf numFmtId="0" fontId="53" fillId="4" borderId="3" xfId="0" applyFont="1" applyFill="1" applyBorder="1" applyAlignment="1">
      <alignment horizontal="left" vertical="center" wrapText="1"/>
    </xf>
    <xf numFmtId="0" fontId="53" fillId="59" borderId="3" xfId="0" applyFont="1" applyFill="1" applyBorder="1" applyAlignment="1">
      <alignment vertical="center"/>
    </xf>
    <xf numFmtId="0" fontId="192" fillId="4" borderId="3" xfId="0" applyFont="1" applyFill="1" applyBorder="1" applyAlignment="1">
      <alignment vertical="center" wrapText="1"/>
    </xf>
    <xf numFmtId="0" fontId="62" fillId="4" borderId="3" xfId="0" applyFont="1" applyFill="1" applyBorder="1" applyAlignment="1">
      <alignment vertical="center" wrapText="1"/>
    </xf>
    <xf numFmtId="0" fontId="53" fillId="2" borderId="3" xfId="0" applyFont="1" applyFill="1" applyBorder="1" applyAlignment="1">
      <alignment horizontal="center" vertical="center" wrapText="1"/>
    </xf>
    <xf numFmtId="0" fontId="53" fillId="2" borderId="3" xfId="0" applyFont="1" applyFill="1" applyBorder="1" applyAlignment="1">
      <alignment horizontal="center" vertical="center"/>
    </xf>
    <xf numFmtId="0" fontId="53" fillId="2" borderId="3" xfId="0" applyFont="1" applyFill="1" applyBorder="1" applyAlignment="1">
      <alignment vertical="center" wrapText="1"/>
    </xf>
    <xf numFmtId="0" fontId="53" fillId="4" borderId="3" xfId="0" applyFont="1" applyFill="1" applyBorder="1" applyAlignment="1">
      <alignment horizontal="center" vertical="center"/>
    </xf>
    <xf numFmtId="0" fontId="53" fillId="4" borderId="3" xfId="0" applyFont="1" applyFill="1" applyBorder="1" applyAlignment="1">
      <alignment vertical="center" wrapText="1"/>
    </xf>
    <xf numFmtId="0" fontId="62" fillId="4" borderId="3" xfId="0" quotePrefix="1" applyFont="1" applyFill="1" applyBorder="1" applyAlignment="1">
      <alignment vertical="center" wrapText="1"/>
    </xf>
    <xf numFmtId="0" fontId="53" fillId="54" borderId="3" xfId="0" applyFont="1" applyFill="1" applyBorder="1" applyAlignment="1">
      <alignment horizontal="center" vertical="center"/>
    </xf>
    <xf numFmtId="0" fontId="53" fillId="54" borderId="3" xfId="0" applyFont="1" applyFill="1" applyBorder="1" applyAlignment="1">
      <alignment vertical="center" wrapText="1"/>
    </xf>
    <xf numFmtId="0" fontId="53" fillId="5" borderId="3" xfId="0" applyFont="1" applyFill="1" applyBorder="1" applyAlignment="1">
      <alignment horizontal="center" vertical="center"/>
    </xf>
    <xf numFmtId="0" fontId="53" fillId="5" borderId="3" xfId="0" applyFont="1" applyFill="1" applyBorder="1" applyAlignment="1">
      <alignment vertical="center" wrapText="1"/>
    </xf>
    <xf numFmtId="0" fontId="192" fillId="4" borderId="3" xfId="0" applyFont="1" applyFill="1" applyBorder="1" applyAlignment="1">
      <alignment horizontal="center" vertical="center"/>
    </xf>
    <xf numFmtId="0" fontId="192" fillId="4" borderId="3" xfId="0" applyFont="1" applyFill="1" applyBorder="1" applyAlignment="1">
      <alignment horizontal="left" vertical="center" wrapText="1"/>
    </xf>
    <xf numFmtId="0" fontId="62" fillId="4" borderId="3" xfId="0" applyFont="1" applyFill="1" applyBorder="1" applyAlignment="1">
      <alignment horizontal="center" vertical="center"/>
    </xf>
    <xf numFmtId="0" fontId="62" fillId="4" borderId="3" xfId="0" quotePrefix="1" applyFont="1" applyFill="1" applyBorder="1" applyAlignment="1">
      <alignment horizontal="left" vertical="center" wrapText="1"/>
    </xf>
    <xf numFmtId="0" fontId="180" fillId="4" borderId="3" xfId="0" applyFont="1" applyFill="1" applyBorder="1" applyAlignment="1">
      <alignment horizontal="left" vertical="center" wrapText="1"/>
    </xf>
    <xf numFmtId="0" fontId="53" fillId="4" borderId="3" xfId="0" quotePrefix="1" applyFont="1" applyFill="1" applyBorder="1" applyAlignment="1">
      <alignment horizontal="left" vertical="center" wrapText="1"/>
    </xf>
    <xf numFmtId="3" fontId="62" fillId="4" borderId="3" xfId="0" quotePrefix="1" applyNumberFormat="1" applyFont="1" applyFill="1" applyBorder="1" applyAlignment="1">
      <alignment vertical="center" wrapText="1"/>
    </xf>
    <xf numFmtId="3" fontId="180" fillId="4" borderId="3" xfId="3" applyNumberFormat="1" applyFont="1" applyFill="1" applyBorder="1" applyAlignment="1">
      <alignment vertical="center" wrapText="1"/>
    </xf>
    <xf numFmtId="0" fontId="180" fillId="4" borderId="3" xfId="0" applyFont="1" applyFill="1" applyBorder="1" applyAlignment="1">
      <alignment horizontal="center" vertical="center"/>
    </xf>
    <xf numFmtId="3" fontId="53" fillId="4" borderId="3" xfId="0" quotePrefix="1" applyNumberFormat="1" applyFont="1" applyFill="1" applyBorder="1" applyAlignment="1">
      <alignment vertical="center" wrapText="1"/>
    </xf>
    <xf numFmtId="3" fontId="192" fillId="4" borderId="3" xfId="0" applyNumberFormat="1" applyFont="1" applyFill="1" applyBorder="1" applyAlignment="1">
      <alignment vertical="center" wrapText="1"/>
    </xf>
    <xf numFmtId="0" fontId="192" fillId="4" borderId="3" xfId="0" quotePrefix="1" applyFont="1" applyFill="1" applyBorder="1" applyAlignment="1">
      <alignment horizontal="left" vertical="center" wrapText="1"/>
    </xf>
    <xf numFmtId="0" fontId="62" fillId="4" borderId="3" xfId="6" quotePrefix="1" applyFont="1" applyFill="1" applyBorder="1" applyAlignment="1" applyProtection="1">
      <alignment horizontal="left" vertical="center" wrapText="1"/>
      <protection hidden="1"/>
    </xf>
    <xf numFmtId="0" fontId="180" fillId="4" borderId="3" xfId="0" quotePrefix="1" applyFont="1" applyFill="1" applyBorder="1" applyAlignment="1">
      <alignment horizontal="left" vertical="center" wrapText="1"/>
    </xf>
    <xf numFmtId="0" fontId="62" fillId="4" borderId="3" xfId="0" applyFont="1" applyFill="1" applyBorder="1" applyAlignment="1">
      <alignment horizontal="left" vertical="center" wrapText="1"/>
    </xf>
    <xf numFmtId="3" fontId="62" fillId="4" borderId="3" xfId="0" applyNumberFormat="1" applyFont="1" applyFill="1" applyBorder="1" applyAlignment="1">
      <alignment vertical="center" wrapText="1"/>
    </xf>
    <xf numFmtId="0" fontId="62" fillId="4" borderId="3" xfId="6" applyFont="1" applyFill="1" applyBorder="1" applyAlignment="1" applyProtection="1">
      <alignment horizontal="left" vertical="center" wrapText="1"/>
      <protection hidden="1"/>
    </xf>
    <xf numFmtId="3" fontId="180" fillId="4" borderId="3" xfId="0" applyNumberFormat="1" applyFont="1" applyFill="1" applyBorder="1" applyAlignment="1">
      <alignment vertical="center" wrapText="1"/>
    </xf>
    <xf numFmtId="3" fontId="180" fillId="4" borderId="3" xfId="0" quotePrefix="1" applyNumberFormat="1" applyFont="1" applyFill="1" applyBorder="1" applyAlignment="1">
      <alignment vertical="center" wrapText="1"/>
    </xf>
    <xf numFmtId="0" fontId="53" fillId="4" borderId="3" xfId="0" quotePrefix="1" applyFont="1" applyFill="1" applyBorder="1" applyAlignment="1">
      <alignment vertical="center" wrapText="1"/>
    </xf>
    <xf numFmtId="0" fontId="180" fillId="4" borderId="3" xfId="0" applyFont="1" applyFill="1" applyBorder="1" applyAlignment="1">
      <alignment vertical="center" wrapText="1"/>
    </xf>
    <xf numFmtId="0" fontId="180" fillId="4" borderId="3" xfId="0" quotePrefix="1" applyFont="1" applyFill="1" applyBorder="1" applyAlignment="1">
      <alignment vertical="center" wrapText="1"/>
    </xf>
    <xf numFmtId="0" fontId="192" fillId="4" borderId="3" xfId="0" quotePrefix="1" applyFont="1" applyFill="1" applyBorder="1" applyAlignment="1">
      <alignment vertical="center" wrapText="1"/>
    </xf>
    <xf numFmtId="0" fontId="53" fillId="53" borderId="3" xfId="0" applyFont="1" applyFill="1" applyBorder="1" applyAlignment="1">
      <alignment horizontal="center" vertical="center"/>
    </xf>
    <xf numFmtId="0" fontId="53" fillId="53" borderId="3" xfId="4" applyFont="1" applyFill="1" applyBorder="1" applyAlignment="1">
      <alignment horizontal="left" vertical="center" wrapText="1"/>
    </xf>
    <xf numFmtId="0" fontId="53" fillId="51" borderId="3" xfId="0" applyFont="1" applyFill="1" applyBorder="1" applyAlignment="1">
      <alignment horizontal="center" vertical="center"/>
    </xf>
    <xf numFmtId="0" fontId="53" fillId="51" borderId="3" xfId="0" applyFont="1" applyFill="1" applyBorder="1" applyAlignment="1">
      <alignment vertical="center" wrapText="1"/>
    </xf>
    <xf numFmtId="2" fontId="62" fillId="4" borderId="3" xfId="0" quotePrefix="1" applyNumberFormat="1" applyFont="1" applyFill="1" applyBorder="1" applyAlignment="1">
      <alignment vertical="center" wrapText="1"/>
    </xf>
    <xf numFmtId="2" fontId="180" fillId="4" borderId="3" xfId="0" quotePrefix="1" applyNumberFormat="1" applyFont="1" applyFill="1" applyBorder="1" applyAlignment="1">
      <alignment vertical="center" wrapText="1"/>
    </xf>
    <xf numFmtId="2" fontId="192" fillId="4" borderId="3" xfId="0" quotePrefix="1" applyNumberFormat="1" applyFont="1" applyFill="1" applyBorder="1" applyAlignment="1">
      <alignment vertical="center" wrapText="1"/>
    </xf>
    <xf numFmtId="0" fontId="192" fillId="4" borderId="3" xfId="0" quotePrefix="1" applyFont="1" applyFill="1" applyBorder="1" applyAlignment="1">
      <alignment horizontal="center" vertical="center"/>
    </xf>
    <xf numFmtId="0" fontId="53" fillId="55" borderId="3" xfId="0" applyFont="1" applyFill="1" applyBorder="1" applyAlignment="1">
      <alignment horizontal="center" vertical="center"/>
    </xf>
    <xf numFmtId="0" fontId="53" fillId="55" borderId="3" xfId="4" applyFont="1" applyFill="1" applyBorder="1" applyAlignment="1">
      <alignment horizontal="left" vertical="center" wrapText="1"/>
    </xf>
    <xf numFmtId="0" fontId="53" fillId="2" borderId="3" xfId="0" quotePrefix="1" applyFont="1" applyFill="1" applyBorder="1" applyAlignment="1">
      <alignment vertical="center" wrapText="1"/>
    </xf>
    <xf numFmtId="3" fontId="30" fillId="4" borderId="3" xfId="0" applyNumberFormat="1" applyFont="1" applyFill="1" applyBorder="1" applyAlignment="1">
      <alignment horizontal="center" vertical="center" wrapText="1"/>
    </xf>
    <xf numFmtId="3" fontId="172" fillId="4" borderId="3" xfId="0" applyNumberFormat="1" applyFont="1" applyFill="1" applyBorder="1" applyAlignment="1">
      <alignment horizontal="right" vertical="center"/>
    </xf>
    <xf numFmtId="3" fontId="35" fillId="4" borderId="3" xfId="0" applyNumberFormat="1" applyFont="1" applyFill="1" applyBorder="1" applyAlignment="1">
      <alignment horizontal="right" vertical="center"/>
    </xf>
    <xf numFmtId="3" fontId="30" fillId="4" borderId="3" xfId="0" applyNumberFormat="1" applyFont="1" applyFill="1" applyBorder="1" applyAlignment="1">
      <alignment horizontal="right" vertical="center"/>
    </xf>
    <xf numFmtId="3" fontId="43" fillId="4" borderId="3" xfId="0" applyNumberFormat="1" applyFont="1" applyFill="1" applyBorder="1" applyAlignment="1">
      <alignment horizontal="right" vertical="center" wrapText="1"/>
    </xf>
    <xf numFmtId="3" fontId="30" fillId="4" borderId="3" xfId="0" applyNumberFormat="1" applyFont="1" applyFill="1" applyBorder="1" applyAlignment="1">
      <alignment horizontal="right" vertical="center" wrapText="1"/>
    </xf>
    <xf numFmtId="3" fontId="172" fillId="4" borderId="3" xfId="0" applyNumberFormat="1" applyFont="1" applyFill="1" applyBorder="1" applyAlignment="1">
      <alignment horizontal="right" vertical="center" wrapText="1"/>
    </xf>
    <xf numFmtId="3" fontId="43" fillId="4" borderId="3" xfId="0" applyNumberFormat="1" applyFont="1" applyFill="1" applyBorder="1" applyAlignment="1">
      <alignment horizontal="right" vertical="center"/>
    </xf>
    <xf numFmtId="3" fontId="172" fillId="58" borderId="3" xfId="0" applyNumberFormat="1" applyFont="1" applyFill="1" applyBorder="1" applyAlignment="1">
      <alignment horizontal="right" vertical="center" wrapText="1"/>
    </xf>
    <xf numFmtId="3" fontId="172" fillId="59" borderId="3" xfId="0" applyNumberFormat="1" applyFont="1" applyFill="1" applyBorder="1" applyAlignment="1">
      <alignment horizontal="right" vertical="center" wrapText="1"/>
    </xf>
    <xf numFmtId="3" fontId="172" fillId="51" borderId="3" xfId="0" applyNumberFormat="1" applyFont="1" applyFill="1" applyBorder="1" applyAlignment="1">
      <alignment horizontal="right" vertical="center" wrapText="1"/>
    </xf>
    <xf numFmtId="3" fontId="172" fillId="2" borderId="3" xfId="0" applyNumberFormat="1" applyFont="1" applyFill="1" applyBorder="1" applyAlignment="1">
      <alignment horizontal="right" vertical="center" wrapText="1"/>
    </xf>
    <xf numFmtId="3" fontId="172" fillId="2" borderId="3" xfId="0" applyNumberFormat="1" applyFont="1" applyFill="1" applyBorder="1" applyAlignment="1">
      <alignment horizontal="right" vertical="center"/>
    </xf>
    <xf numFmtId="3" fontId="172" fillId="2" borderId="3" xfId="1" applyNumberFormat="1" applyFont="1" applyFill="1" applyBorder="1" applyAlignment="1">
      <alignment horizontal="right" vertical="center"/>
    </xf>
    <xf numFmtId="3" fontId="172" fillId="54" borderId="3" xfId="1" applyNumberFormat="1" applyFont="1" applyFill="1" applyBorder="1" applyAlignment="1">
      <alignment horizontal="right" vertical="center"/>
    </xf>
    <xf numFmtId="3" fontId="172" fillId="5" borderId="3" xfId="1" applyNumberFormat="1" applyFont="1" applyFill="1" applyBorder="1" applyAlignment="1">
      <alignment horizontal="right" vertical="center"/>
    </xf>
    <xf numFmtId="3" fontId="35" fillId="4" borderId="3" xfId="1" applyNumberFormat="1" applyFont="1" applyFill="1" applyBorder="1" applyAlignment="1" applyProtection="1">
      <alignment horizontal="right" vertical="center"/>
      <protection locked="0"/>
    </xf>
    <xf numFmtId="3" fontId="172" fillId="4" borderId="3" xfId="1" applyNumberFormat="1" applyFont="1" applyFill="1" applyBorder="1" applyAlignment="1" applyProtection="1">
      <alignment horizontal="right" vertical="center"/>
      <protection locked="0"/>
    </xf>
    <xf numFmtId="3" fontId="30" fillId="4" borderId="3" xfId="1" applyNumberFormat="1" applyFont="1" applyFill="1" applyBorder="1" applyAlignment="1" applyProtection="1">
      <alignment horizontal="right" vertical="center"/>
      <protection locked="0"/>
    </xf>
    <xf numFmtId="3" fontId="30" fillId="4" borderId="3" xfId="3" applyNumberFormat="1" applyFont="1" applyFill="1" applyBorder="1" applyAlignment="1">
      <alignment horizontal="right" vertical="center"/>
    </xf>
    <xf numFmtId="3" fontId="43" fillId="4" borderId="3" xfId="1" applyNumberFormat="1" applyFont="1" applyFill="1" applyBorder="1" applyAlignment="1" applyProtection="1">
      <alignment horizontal="right" vertical="center"/>
      <protection locked="0"/>
    </xf>
    <xf numFmtId="3" fontId="35" fillId="4" borderId="3" xfId="3" applyNumberFormat="1" applyFont="1" applyFill="1" applyBorder="1" applyAlignment="1">
      <alignment horizontal="right" vertical="center"/>
    </xf>
    <xf numFmtId="3" fontId="172" fillId="4" borderId="3" xfId="3" applyNumberFormat="1" applyFont="1" applyFill="1" applyBorder="1" applyAlignment="1">
      <alignment horizontal="right" vertical="center"/>
    </xf>
    <xf numFmtId="3" fontId="172" fillId="4" borderId="3" xfId="1" applyNumberFormat="1" applyFont="1" applyFill="1" applyBorder="1" applyAlignment="1">
      <alignment horizontal="right" vertical="center"/>
    </xf>
    <xf numFmtId="3" fontId="43" fillId="4" borderId="3" xfId="3" applyNumberFormat="1" applyFont="1" applyFill="1" applyBorder="1" applyAlignment="1">
      <alignment horizontal="right" vertical="center"/>
    </xf>
    <xf numFmtId="3" fontId="30" fillId="4" borderId="3" xfId="1" applyNumberFormat="1" applyFont="1" applyFill="1" applyBorder="1" applyAlignment="1">
      <alignment horizontal="right" vertical="center"/>
    </xf>
    <xf numFmtId="3" fontId="172" fillId="53" borderId="3" xfId="3" applyNumberFormat="1" applyFont="1" applyFill="1" applyBorder="1" applyAlignment="1">
      <alignment horizontal="right" vertical="center"/>
    </xf>
    <xf numFmtId="3" fontId="172" fillId="51" borderId="3" xfId="3" applyNumberFormat="1" applyFont="1" applyFill="1" applyBorder="1" applyAlignment="1">
      <alignment horizontal="right" vertical="center"/>
    </xf>
    <xf numFmtId="3" fontId="172" fillId="5" borderId="3" xfId="3" applyNumberFormat="1" applyFont="1" applyFill="1" applyBorder="1" applyAlignment="1">
      <alignment horizontal="right" vertical="center"/>
    </xf>
    <xf numFmtId="3" fontId="172" fillId="55" borderId="3" xfId="3" applyNumberFormat="1" applyFont="1" applyFill="1" applyBorder="1" applyAlignment="1">
      <alignment horizontal="right" vertical="center"/>
    </xf>
    <xf numFmtId="3" fontId="172" fillId="2" borderId="3" xfId="3" applyNumberFormat="1" applyFont="1" applyFill="1" applyBorder="1" applyAlignment="1">
      <alignment horizontal="right" vertical="center"/>
    </xf>
    <xf numFmtId="0" fontId="53" fillId="60" borderId="3" xfId="543" applyFont="1" applyFill="1" applyBorder="1" applyAlignment="1" applyProtection="1">
      <alignment horizontal="center" vertical="center" wrapText="1"/>
    </xf>
    <xf numFmtId="0" fontId="53" fillId="60" borderId="3" xfId="543" applyFont="1" applyFill="1" applyBorder="1" applyAlignment="1" applyProtection="1">
      <alignment vertical="center" wrapText="1"/>
    </xf>
    <xf numFmtId="3" fontId="53" fillId="60" borderId="3" xfId="0" applyNumberFormat="1" applyFont="1" applyFill="1" applyBorder="1" applyAlignment="1">
      <alignment horizontal="center" vertical="center" wrapText="1"/>
    </xf>
    <xf numFmtId="3" fontId="10" fillId="4" borderId="0" xfId="0" applyNumberFormat="1" applyFont="1" applyFill="1" applyAlignment="1">
      <alignment horizontal="right" vertical="center"/>
    </xf>
    <xf numFmtId="0" fontId="16" fillId="4" borderId="10" xfId="543" applyFont="1" applyFill="1" applyBorder="1" applyAlignment="1" applyProtection="1">
      <alignment vertical="center" wrapText="1"/>
    </xf>
    <xf numFmtId="3" fontId="191" fillId="0" borderId="10" xfId="0" applyNumberFormat="1" applyFont="1" applyBorder="1" applyAlignment="1">
      <alignment vertical="center" wrapText="1"/>
    </xf>
    <xf numFmtId="0" fontId="172" fillId="56" borderId="3" xfId="0" applyFont="1" applyFill="1" applyBorder="1" applyAlignment="1">
      <alignment horizontal="center" vertical="center" wrapText="1"/>
    </xf>
    <xf numFmtId="0" fontId="172" fillId="56" borderId="3" xfId="0" applyFont="1" applyFill="1" applyBorder="1" applyAlignment="1">
      <alignment horizontal="center" vertical="center"/>
    </xf>
    <xf numFmtId="0" fontId="11" fillId="56" borderId="3" xfId="0" applyFont="1" applyFill="1" applyBorder="1" applyAlignment="1">
      <alignment horizontal="center" vertical="center" wrapText="1"/>
    </xf>
    <xf numFmtId="3" fontId="11" fillId="56" borderId="3" xfId="0" applyNumberFormat="1" applyFont="1" applyFill="1" applyBorder="1" applyAlignment="1">
      <alignment horizontal="center" vertical="center"/>
    </xf>
    <xf numFmtId="3" fontId="172" fillId="56" borderId="3" xfId="0" applyNumberFormat="1" applyFont="1" applyFill="1" applyBorder="1" applyAlignment="1">
      <alignment horizontal="center" vertical="center" wrapText="1"/>
    </xf>
    <xf numFmtId="4" fontId="172" fillId="56" borderId="3" xfId="344" applyNumberFormat="1" applyFont="1" applyFill="1" applyBorder="1" applyAlignment="1">
      <alignment horizontal="center" vertical="center" wrapText="1"/>
    </xf>
    <xf numFmtId="0" fontId="11" fillId="60" borderId="3" xfId="0" applyFont="1" applyFill="1" applyBorder="1" applyAlignment="1">
      <alignment horizontal="center" vertical="center" wrapText="1"/>
    </xf>
    <xf numFmtId="3" fontId="11" fillId="60" borderId="3" xfId="0" applyNumberFormat="1" applyFont="1" applyFill="1" applyBorder="1" applyAlignment="1">
      <alignment horizontal="center" vertical="center" wrapText="1"/>
    </xf>
    <xf numFmtId="3" fontId="11" fillId="60" borderId="3" xfId="0" applyNumberFormat="1" applyFont="1" applyFill="1" applyBorder="1" applyAlignment="1">
      <alignment horizontal="right" vertical="center"/>
    </xf>
    <xf numFmtId="4" fontId="11" fillId="60" borderId="3" xfId="0" applyNumberFormat="1" applyFont="1" applyFill="1" applyBorder="1" applyAlignment="1">
      <alignment horizontal="center" vertical="center"/>
    </xf>
    <xf numFmtId="4" fontId="11" fillId="4" borderId="3" xfId="0" applyNumberFormat="1" applyFont="1" applyFill="1" applyBorder="1" applyAlignment="1">
      <alignment horizontal="center" vertical="center"/>
    </xf>
    <xf numFmtId="3" fontId="10" fillId="4" borderId="3" xfId="0" applyNumberFormat="1" applyFont="1" applyFill="1" applyBorder="1" applyAlignment="1">
      <alignment horizontal="center" vertical="center" wrapText="1"/>
    </xf>
    <xf numFmtId="4" fontId="10" fillId="4" borderId="3" xfId="0" applyNumberFormat="1" applyFont="1" applyFill="1" applyBorder="1" applyAlignment="1">
      <alignment horizontal="center" vertical="center"/>
    </xf>
    <xf numFmtId="4" fontId="183" fillId="4" borderId="3" xfId="0" applyNumberFormat="1" applyFont="1" applyFill="1" applyBorder="1" applyAlignment="1">
      <alignment horizontal="center" vertical="center"/>
    </xf>
    <xf numFmtId="0" fontId="10" fillId="4" borderId="3" xfId="0" quotePrefix="1" applyFont="1" applyFill="1" applyBorder="1" applyAlignment="1">
      <alignment horizontal="center" vertical="center" wrapText="1"/>
    </xf>
    <xf numFmtId="3" fontId="10" fillId="4" borderId="3" xfId="0" quotePrefix="1" applyNumberFormat="1" applyFont="1" applyFill="1" applyBorder="1" applyAlignment="1">
      <alignment horizontal="center" vertical="center" wrapText="1"/>
    </xf>
    <xf numFmtId="3" fontId="11" fillId="2" borderId="3" xfId="0" applyNumberFormat="1" applyFont="1" applyFill="1" applyBorder="1" applyAlignment="1">
      <alignment horizontal="center" vertical="center" wrapText="1"/>
    </xf>
    <xf numFmtId="4" fontId="11" fillId="2" borderId="3" xfId="0" applyNumberFormat="1" applyFont="1" applyFill="1" applyBorder="1" applyAlignment="1">
      <alignment horizontal="center" vertical="center"/>
    </xf>
    <xf numFmtId="0" fontId="11" fillId="50" borderId="3" xfId="0" applyFont="1" applyFill="1" applyBorder="1" applyAlignment="1">
      <alignment horizontal="center" vertical="center" wrapText="1"/>
    </xf>
    <xf numFmtId="3" fontId="11" fillId="50" borderId="3" xfId="0" applyNumberFormat="1" applyFont="1" applyFill="1" applyBorder="1" applyAlignment="1">
      <alignment horizontal="center" vertical="center" wrapText="1"/>
    </xf>
    <xf numFmtId="4" fontId="11" fillId="50" borderId="3" xfId="0" applyNumberFormat="1" applyFont="1" applyFill="1" applyBorder="1" applyAlignment="1">
      <alignment horizontal="center" vertical="center"/>
    </xf>
    <xf numFmtId="0" fontId="18" fillId="51" borderId="3" xfId="0" applyFont="1" applyFill="1" applyBorder="1" applyAlignment="1">
      <alignment horizontal="center" vertical="center" wrapText="1"/>
    </xf>
    <xf numFmtId="3" fontId="18" fillId="51" borderId="3" xfId="0" applyNumberFormat="1" applyFont="1" applyFill="1" applyBorder="1" applyAlignment="1">
      <alignment horizontal="center" vertical="center" wrapText="1"/>
    </xf>
    <xf numFmtId="4" fontId="11" fillId="51" borderId="3" xfId="0" applyNumberFormat="1" applyFont="1" applyFill="1" applyBorder="1" applyAlignment="1">
      <alignment horizontal="center" vertical="center"/>
    </xf>
    <xf numFmtId="0" fontId="11" fillId="52" borderId="3" xfId="0" applyFont="1" applyFill="1" applyBorder="1" applyAlignment="1">
      <alignment horizontal="center" vertical="center" wrapText="1"/>
    </xf>
    <xf numFmtId="3" fontId="11" fillId="52" borderId="3" xfId="0" applyNumberFormat="1" applyFont="1" applyFill="1" applyBorder="1" applyAlignment="1">
      <alignment horizontal="center" vertical="center" wrapText="1"/>
    </xf>
    <xf numFmtId="4" fontId="11" fillId="52" borderId="3" xfId="0" applyNumberFormat="1" applyFont="1" applyFill="1" applyBorder="1" applyAlignment="1">
      <alignment horizontal="center" vertical="center"/>
    </xf>
    <xf numFmtId="3" fontId="12" fillId="4" borderId="3" xfId="3" applyNumberFormat="1" applyFont="1" applyFill="1" applyBorder="1" applyAlignment="1">
      <alignment horizontal="center" vertical="center" wrapText="1"/>
    </xf>
    <xf numFmtId="0" fontId="12" fillId="4" borderId="3" xfId="0" applyFont="1" applyFill="1" applyBorder="1" applyAlignment="1">
      <alignment horizontal="center" vertical="center" wrapText="1"/>
    </xf>
    <xf numFmtId="3" fontId="12" fillId="4" borderId="3" xfId="0" applyNumberFormat="1" applyFont="1" applyFill="1" applyBorder="1" applyAlignment="1">
      <alignment horizontal="center" vertical="center" wrapText="1"/>
    </xf>
    <xf numFmtId="0" fontId="11" fillId="4" borderId="3" xfId="0" quotePrefix="1" applyFont="1" applyFill="1" applyBorder="1" applyAlignment="1">
      <alignment horizontal="center" vertical="center" wrapText="1"/>
    </xf>
    <xf numFmtId="3" fontId="11" fillId="4" borderId="3" xfId="0" quotePrefix="1" applyNumberFormat="1" applyFont="1" applyFill="1" applyBorder="1" applyAlignment="1">
      <alignment horizontal="center" vertical="center" wrapText="1"/>
    </xf>
    <xf numFmtId="3" fontId="12" fillId="4" borderId="3" xfId="0" quotePrefix="1" applyNumberFormat="1" applyFont="1" applyFill="1" applyBorder="1" applyAlignment="1">
      <alignment horizontal="center" vertical="center" wrapText="1"/>
    </xf>
    <xf numFmtId="3" fontId="14" fillId="4" borderId="3" xfId="0" quotePrefix="1" applyNumberFormat="1" applyFont="1" applyFill="1" applyBorder="1" applyAlignment="1">
      <alignment horizontal="center" vertical="center" wrapText="1"/>
    </xf>
    <xf numFmtId="0" fontId="18" fillId="4" borderId="3" xfId="0" applyFont="1" applyFill="1" applyBorder="1" applyAlignment="1">
      <alignment horizontal="center" vertical="center" wrapText="1"/>
    </xf>
    <xf numFmtId="3" fontId="18" fillId="4" borderId="3" xfId="0" applyNumberFormat="1" applyFont="1" applyFill="1" applyBorder="1" applyAlignment="1">
      <alignment horizontal="center" vertical="center" wrapText="1"/>
    </xf>
    <xf numFmtId="0" fontId="18" fillId="5" borderId="3" xfId="0" applyFont="1" applyFill="1" applyBorder="1" applyAlignment="1">
      <alignment horizontal="center" vertical="center" wrapText="1"/>
    </xf>
    <xf numFmtId="3" fontId="18" fillId="5" borderId="3" xfId="0" applyNumberFormat="1" applyFont="1" applyFill="1" applyBorder="1" applyAlignment="1">
      <alignment horizontal="center" vertical="center" wrapText="1"/>
    </xf>
    <xf numFmtId="0" fontId="18" fillId="54" borderId="3" xfId="4" applyFont="1" applyFill="1" applyBorder="1" applyAlignment="1">
      <alignment horizontal="center" vertical="center" wrapText="1"/>
    </xf>
    <xf numFmtId="3" fontId="18" fillId="54" borderId="3" xfId="4" applyNumberFormat="1" applyFont="1" applyFill="1" applyBorder="1" applyAlignment="1">
      <alignment horizontal="center" vertical="center" wrapText="1"/>
    </xf>
    <xf numFmtId="0" fontId="11" fillId="55" borderId="3" xfId="0" applyFont="1" applyFill="1" applyBorder="1" applyAlignment="1">
      <alignment horizontal="center" vertical="center" wrapText="1"/>
    </xf>
    <xf numFmtId="3" fontId="11" fillId="55" borderId="3" xfId="0" applyNumberFormat="1" applyFont="1" applyFill="1" applyBorder="1" applyAlignment="1">
      <alignment horizontal="center" vertical="center" wrapText="1"/>
    </xf>
    <xf numFmtId="3" fontId="14" fillId="4" borderId="3" xfId="0" applyNumberFormat="1" applyFont="1" applyFill="1" applyBorder="1" applyAlignment="1">
      <alignment horizontal="center" vertical="center" wrapText="1"/>
    </xf>
    <xf numFmtId="2" fontId="10" fillId="4" borderId="3" xfId="0" quotePrefix="1" applyNumberFormat="1" applyFont="1" applyFill="1" applyBorder="1" applyAlignment="1">
      <alignment horizontal="center" vertical="center" wrapText="1"/>
    </xf>
    <xf numFmtId="0" fontId="10" fillId="53" borderId="3" xfId="0" quotePrefix="1" applyFont="1" applyFill="1" applyBorder="1" applyAlignment="1">
      <alignment horizontal="center" vertical="center" wrapText="1"/>
    </xf>
    <xf numFmtId="3" fontId="10" fillId="53" borderId="3" xfId="0" quotePrefix="1" applyNumberFormat="1" applyFont="1" applyFill="1" applyBorder="1" applyAlignment="1">
      <alignment horizontal="center" vertical="center" wrapText="1"/>
    </xf>
    <xf numFmtId="3" fontId="10" fillId="4" borderId="3" xfId="0" applyNumberFormat="1" applyFont="1" applyFill="1" applyBorder="1" applyAlignment="1">
      <alignment horizontal="center" vertical="center"/>
    </xf>
    <xf numFmtId="3" fontId="172" fillId="4" borderId="3" xfId="0" applyNumberFormat="1" applyFont="1" applyFill="1" applyBorder="1" applyAlignment="1">
      <alignment horizontal="center" vertical="center" wrapText="1"/>
    </xf>
    <xf numFmtId="3" fontId="172" fillId="2" borderId="3" xfId="0" applyNumberFormat="1" applyFont="1" applyFill="1" applyBorder="1" applyAlignment="1">
      <alignment horizontal="center" vertical="center" wrapText="1"/>
    </xf>
    <xf numFmtId="3" fontId="11" fillId="60" borderId="3" xfId="0" applyNumberFormat="1" applyFont="1" applyFill="1" applyBorder="1" applyAlignment="1">
      <alignment horizontal="center" vertical="center"/>
    </xf>
    <xf numFmtId="3" fontId="172" fillId="4" borderId="3" xfId="0" applyNumberFormat="1" applyFont="1" applyFill="1" applyBorder="1" applyAlignment="1">
      <alignment horizontal="center" vertical="center"/>
    </xf>
    <xf numFmtId="3" fontId="172" fillId="2" borderId="3" xfId="1" applyNumberFormat="1" applyFont="1" applyFill="1" applyBorder="1" applyAlignment="1">
      <alignment horizontal="center" vertical="center"/>
    </xf>
    <xf numFmtId="3" fontId="35" fillId="4" borderId="3" xfId="1" applyNumberFormat="1" applyFont="1" applyFill="1" applyBorder="1" applyAlignment="1" applyProtection="1">
      <alignment horizontal="center" vertical="center"/>
      <protection locked="0"/>
    </xf>
    <xf numFmtId="3" fontId="172" fillId="4" borderId="3" xfId="1" applyNumberFormat="1" applyFont="1" applyFill="1" applyBorder="1" applyAlignment="1" applyProtection="1">
      <alignment horizontal="center" vertical="center"/>
      <protection locked="0"/>
    </xf>
    <xf numFmtId="3" fontId="30" fillId="4" borderId="3" xfId="1" applyNumberFormat="1" applyFont="1" applyFill="1" applyBorder="1" applyAlignment="1" applyProtection="1">
      <alignment horizontal="center" vertical="center"/>
      <protection locked="0"/>
    </xf>
    <xf numFmtId="3" fontId="30" fillId="4" borderId="3" xfId="0" applyNumberFormat="1" applyFont="1" applyFill="1" applyBorder="1" applyAlignment="1">
      <alignment horizontal="center" vertical="center"/>
    </xf>
    <xf numFmtId="3" fontId="30" fillId="4" borderId="3" xfId="3" applyNumberFormat="1" applyFont="1" applyFill="1" applyBorder="1" applyAlignment="1">
      <alignment horizontal="center" vertical="center"/>
    </xf>
    <xf numFmtId="3" fontId="35" fillId="4" borderId="3" xfId="0" applyNumberFormat="1" applyFont="1" applyFill="1" applyBorder="1" applyAlignment="1">
      <alignment horizontal="center" vertical="center"/>
    </xf>
    <xf numFmtId="3" fontId="35" fillId="4" borderId="3" xfId="3" applyNumberFormat="1" applyFont="1" applyFill="1" applyBorder="1" applyAlignment="1">
      <alignment horizontal="center" vertical="center"/>
    </xf>
    <xf numFmtId="3" fontId="172" fillId="4" borderId="3" xfId="3" applyNumberFormat="1" applyFont="1" applyFill="1" applyBorder="1" applyAlignment="1">
      <alignment horizontal="center" vertical="center"/>
    </xf>
    <xf numFmtId="3" fontId="43" fillId="4" borderId="3" xfId="1" applyNumberFormat="1" applyFont="1" applyFill="1" applyBorder="1" applyAlignment="1" applyProtection="1">
      <alignment horizontal="center" vertical="center"/>
      <protection locked="0"/>
    </xf>
    <xf numFmtId="3" fontId="43" fillId="4" borderId="3" xfId="0" applyNumberFormat="1" applyFont="1" applyFill="1" applyBorder="1" applyAlignment="1">
      <alignment horizontal="center" vertical="center"/>
    </xf>
    <xf numFmtId="3" fontId="172" fillId="4" borderId="3" xfId="1" applyNumberFormat="1" applyFont="1" applyFill="1" applyBorder="1" applyAlignment="1">
      <alignment horizontal="center" vertical="center"/>
    </xf>
    <xf numFmtId="3" fontId="172" fillId="53" borderId="3" xfId="3" applyNumberFormat="1" applyFont="1" applyFill="1" applyBorder="1" applyAlignment="1">
      <alignment horizontal="center" vertical="center"/>
    </xf>
    <xf numFmtId="3" fontId="172" fillId="51" borderId="3" xfId="3" applyNumberFormat="1" applyFont="1" applyFill="1" applyBorder="1" applyAlignment="1">
      <alignment horizontal="center" vertical="center"/>
    </xf>
    <xf numFmtId="3" fontId="172" fillId="5" borderId="3" xfId="3" applyNumberFormat="1" applyFont="1" applyFill="1" applyBorder="1" applyAlignment="1">
      <alignment horizontal="center" vertical="center"/>
    </xf>
    <xf numFmtId="3" fontId="172" fillId="55" borderId="3" xfId="3" applyNumberFormat="1" applyFont="1" applyFill="1" applyBorder="1" applyAlignment="1">
      <alignment horizontal="center" vertical="center"/>
    </xf>
    <xf numFmtId="3" fontId="172" fillId="2" borderId="3" xfId="3" applyNumberFormat="1" applyFont="1" applyFill="1" applyBorder="1" applyAlignment="1">
      <alignment horizontal="center" vertical="center"/>
    </xf>
    <xf numFmtId="168" fontId="54" fillId="4" borderId="0" xfId="0" applyNumberFormat="1" applyFont="1" applyFill="1" applyAlignment="1">
      <alignment vertical="center"/>
    </xf>
    <xf numFmtId="3" fontId="191" fillId="0" borderId="34" xfId="0" applyNumberFormat="1" applyFont="1" applyBorder="1" applyAlignment="1">
      <alignment vertical="center" wrapText="1"/>
    </xf>
    <xf numFmtId="0" fontId="16" fillId="4" borderId="0" xfId="543" applyFont="1" applyFill="1" applyAlignment="1" applyProtection="1">
      <alignment horizontal="center" vertical="center" wrapText="1"/>
    </xf>
    <xf numFmtId="0" fontId="174" fillId="4" borderId="0" xfId="543" applyFont="1" applyFill="1" applyAlignment="1" applyProtection="1">
      <alignment vertical="center" wrapText="1"/>
    </xf>
    <xf numFmtId="4" fontId="62" fillId="4" borderId="0" xfId="543" applyNumberFormat="1" applyFont="1" applyFill="1" applyAlignment="1" applyProtection="1">
      <alignment vertical="center" wrapText="1"/>
    </xf>
    <xf numFmtId="43" fontId="62" fillId="4" borderId="0" xfId="129" applyFont="1" applyFill="1" applyAlignment="1" applyProtection="1">
      <alignment vertical="center" wrapText="1"/>
    </xf>
    <xf numFmtId="43" fontId="62" fillId="4" borderId="0" xfId="543" applyNumberFormat="1" applyFont="1" applyFill="1" applyAlignment="1" applyProtection="1">
      <alignment vertical="center" wrapText="1"/>
    </xf>
    <xf numFmtId="0" fontId="181" fillId="0" borderId="33" xfId="0" applyFont="1" applyBorder="1" applyAlignment="1">
      <alignment horizontal="center" vertical="center" wrapText="1"/>
    </xf>
    <xf numFmtId="3" fontId="186" fillId="4" borderId="0" xfId="543" applyNumberFormat="1" applyFont="1" applyFill="1" applyAlignment="1" applyProtection="1">
      <alignment horizontal="center" vertical="center" wrapText="1"/>
    </xf>
    <xf numFmtId="3" fontId="193" fillId="4" borderId="0" xfId="543" applyNumberFormat="1" applyFont="1" applyFill="1" applyAlignment="1" applyProtection="1">
      <alignment vertical="center" wrapText="1"/>
    </xf>
    <xf numFmtId="0" fontId="54" fillId="4" borderId="3" xfId="0" quotePrefix="1" applyFont="1" applyFill="1" applyBorder="1" applyAlignment="1">
      <alignment horizontal="left" vertical="center" wrapText="1"/>
    </xf>
    <xf numFmtId="3" fontId="194" fillId="0" borderId="34" xfId="0" applyNumberFormat="1" applyFont="1" applyBorder="1" applyAlignment="1">
      <alignment vertical="center" wrapText="1"/>
    </xf>
    <xf numFmtId="3" fontId="43" fillId="2" borderId="3" xfId="0" applyNumberFormat="1" applyFont="1" applyFill="1" applyBorder="1" applyAlignment="1">
      <alignment horizontal="right" vertical="center"/>
    </xf>
    <xf numFmtId="3" fontId="30" fillId="2" borderId="3" xfId="0" applyNumberFormat="1" applyFont="1" applyFill="1" applyBorder="1" applyAlignment="1">
      <alignment horizontal="right" vertical="center"/>
    </xf>
    <xf numFmtId="3" fontId="195" fillId="0" borderId="34" xfId="0" applyNumberFormat="1" applyFont="1" applyBorder="1" applyAlignment="1">
      <alignment vertical="center" wrapText="1"/>
    </xf>
    <xf numFmtId="3" fontId="30" fillId="2" borderId="3" xfId="0" applyNumberFormat="1" applyFont="1" applyFill="1" applyBorder="1" applyAlignment="1">
      <alignment horizontal="right" vertical="center" wrapText="1"/>
    </xf>
    <xf numFmtId="3" fontId="43" fillId="2" borderId="3" xfId="1" applyNumberFormat="1" applyFont="1" applyFill="1" applyBorder="1" applyAlignment="1" applyProtection="1">
      <alignment horizontal="right" vertical="center"/>
      <protection locked="0"/>
    </xf>
    <xf numFmtId="3" fontId="30" fillId="2" borderId="3" xfId="1" applyNumberFormat="1" applyFont="1" applyFill="1" applyBorder="1" applyAlignment="1" applyProtection="1">
      <alignment horizontal="right" vertical="center"/>
      <protection locked="0"/>
    </xf>
    <xf numFmtId="3" fontId="43" fillId="2" borderId="3" xfId="0" applyNumberFormat="1" applyFont="1" applyFill="1" applyBorder="1" applyAlignment="1">
      <alignment horizontal="right" vertical="center" wrapText="1"/>
    </xf>
    <xf numFmtId="3" fontId="196" fillId="0" borderId="34" xfId="0" applyNumberFormat="1" applyFont="1" applyBorder="1" applyAlignment="1">
      <alignment vertical="center" wrapText="1"/>
    </xf>
    <xf numFmtId="3" fontId="43" fillId="2" borderId="3" xfId="3" applyNumberFormat="1" applyFont="1" applyFill="1" applyBorder="1" applyAlignment="1">
      <alignment horizontal="right" vertical="center"/>
    </xf>
    <xf numFmtId="3" fontId="30" fillId="2" borderId="3" xfId="3" applyNumberFormat="1" applyFont="1" applyFill="1" applyBorder="1" applyAlignment="1">
      <alignment horizontal="right" vertical="center"/>
    </xf>
    <xf numFmtId="0" fontId="197" fillId="4" borderId="3" xfId="0" applyFont="1" applyFill="1" applyBorder="1" applyAlignment="1">
      <alignment horizontal="center" vertical="center"/>
    </xf>
    <xf numFmtId="0" fontId="198" fillId="4" borderId="3" xfId="0" applyFont="1" applyFill="1" applyBorder="1" applyAlignment="1">
      <alignment horizontal="left" vertical="center" wrapText="1"/>
    </xf>
    <xf numFmtId="0" fontId="199" fillId="4" borderId="3" xfId="0" applyFont="1" applyFill="1" applyBorder="1" applyAlignment="1">
      <alignment horizontal="center" vertical="center"/>
    </xf>
    <xf numFmtId="3" fontId="199" fillId="4" borderId="3" xfId="0" applyNumberFormat="1" applyFont="1" applyFill="1" applyBorder="1" applyAlignment="1">
      <alignment horizontal="center" vertical="center"/>
    </xf>
    <xf numFmtId="3" fontId="200" fillId="4" borderId="3" xfId="0" applyNumberFormat="1" applyFont="1" applyFill="1" applyBorder="1" applyAlignment="1">
      <alignment horizontal="right" vertical="center" wrapText="1"/>
    </xf>
    <xf numFmtId="3" fontId="200" fillId="4" borderId="3" xfId="0" applyNumberFormat="1" applyFont="1" applyFill="1" applyBorder="1" applyAlignment="1">
      <alignment horizontal="center" vertical="center" wrapText="1"/>
    </xf>
    <xf numFmtId="4" fontId="199" fillId="4" borderId="3" xfId="0" applyNumberFormat="1" applyFont="1" applyFill="1" applyBorder="1" applyAlignment="1">
      <alignment horizontal="center" vertical="center"/>
    </xf>
    <xf numFmtId="0" fontId="199" fillId="4" borderId="0" xfId="0" applyFont="1" applyFill="1" applyAlignment="1">
      <alignment vertical="center"/>
    </xf>
    <xf numFmtId="4" fontId="199" fillId="4" borderId="0" xfId="0" applyNumberFormat="1" applyFont="1" applyFill="1" applyAlignment="1">
      <alignment vertical="center"/>
    </xf>
    <xf numFmtId="3" fontId="11" fillId="4" borderId="3"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98" fillId="4" borderId="3" xfId="0" applyFont="1" applyFill="1" applyBorder="1" applyAlignment="1">
      <alignment horizontal="center" vertical="center"/>
    </xf>
    <xf numFmtId="0" fontId="178" fillId="4" borderId="3" xfId="0" applyFont="1" applyFill="1" applyBorder="1" applyAlignment="1">
      <alignment horizontal="left" vertical="center" wrapText="1"/>
    </xf>
    <xf numFmtId="3" fontId="201" fillId="2" borderId="2" xfId="0" applyNumberFormat="1" applyFont="1" applyFill="1" applyBorder="1" applyAlignment="1">
      <alignment horizontal="right" vertical="center" wrapText="1"/>
    </xf>
    <xf numFmtId="0" fontId="202" fillId="4" borderId="3" xfId="0" quotePrefix="1" applyFont="1" applyFill="1" applyBorder="1" applyAlignment="1">
      <alignment horizontal="left" vertical="center" wrapText="1"/>
    </xf>
    <xf numFmtId="3" fontId="203" fillId="2" borderId="2" xfId="1169" applyNumberFormat="1" applyFont="1" applyFill="1" applyBorder="1" applyAlignment="1">
      <alignment vertical="center"/>
    </xf>
    <xf numFmtId="0" fontId="14" fillId="4" borderId="3" xfId="0" quotePrefix="1" applyFont="1" applyFill="1" applyBorder="1" applyAlignment="1">
      <alignment horizontal="left" vertical="center" wrapText="1"/>
    </xf>
    <xf numFmtId="0" fontId="10" fillId="4" borderId="3" xfId="0" quotePrefix="1" applyFont="1" applyFill="1" applyBorder="1" applyAlignment="1">
      <alignment horizontal="left" vertical="center" wrapText="1"/>
    </xf>
    <xf numFmtId="3" fontId="174" fillId="0" borderId="3" xfId="1" applyNumberFormat="1" applyFont="1" applyFill="1" applyBorder="1" applyAlignment="1">
      <alignment vertical="center"/>
    </xf>
    <xf numFmtId="3" fontId="43" fillId="2" borderId="3" xfId="1" applyNumberFormat="1" applyFont="1" applyFill="1" applyBorder="1" applyAlignment="1">
      <alignment horizontal="right" vertical="center"/>
    </xf>
    <xf numFmtId="0" fontId="205" fillId="4" borderId="3" xfId="0" quotePrefix="1" applyFont="1" applyFill="1" applyBorder="1" applyAlignment="1">
      <alignment horizontal="left" vertical="center" wrapText="1"/>
    </xf>
    <xf numFmtId="3" fontId="206" fillId="2" borderId="3" xfId="0" applyNumberFormat="1" applyFont="1" applyFill="1" applyBorder="1" applyAlignment="1">
      <alignment horizontal="right" vertical="center"/>
    </xf>
    <xf numFmtId="3" fontId="207" fillId="0" borderId="3" xfId="1" applyNumberFormat="1" applyFont="1" applyFill="1" applyBorder="1" applyAlignment="1" applyProtection="1">
      <alignment vertical="center"/>
      <protection locked="0"/>
    </xf>
    <xf numFmtId="3" fontId="208" fillId="2" borderId="3" xfId="1" applyNumberFormat="1" applyFont="1" applyFill="1" applyBorder="1" applyAlignment="1" applyProtection="1">
      <alignment horizontal="right" vertical="center"/>
      <protection locked="0"/>
    </xf>
    <xf numFmtId="3" fontId="30" fillId="2" borderId="3" xfId="1" applyNumberFormat="1" applyFont="1" applyFill="1" applyBorder="1" applyAlignment="1">
      <alignment horizontal="right" vertical="center"/>
    </xf>
    <xf numFmtId="0" fontId="16" fillId="4" borderId="3" xfId="0" quotePrefix="1" applyFont="1" applyFill="1" applyBorder="1" applyAlignment="1">
      <alignment horizontal="left" vertical="center" wrapText="1"/>
    </xf>
    <xf numFmtId="3" fontId="209" fillId="4" borderId="3" xfId="3" applyNumberFormat="1" applyFont="1" applyFill="1" applyBorder="1" applyAlignment="1">
      <alignment horizontal="right" vertical="center"/>
    </xf>
    <xf numFmtId="3" fontId="178" fillId="4" borderId="3" xfId="0" applyNumberFormat="1" applyFont="1" applyFill="1" applyBorder="1" applyAlignment="1">
      <alignment vertical="center" wrapText="1"/>
    </xf>
    <xf numFmtId="3" fontId="11" fillId="4" borderId="3"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2" fillId="4" borderId="2" xfId="6" quotePrefix="1" applyFont="1" applyFill="1" applyBorder="1" applyAlignment="1" applyProtection="1">
      <alignment horizontal="left" vertical="center" wrapText="1"/>
      <protection hidden="1"/>
    </xf>
    <xf numFmtId="0" fontId="10" fillId="4" borderId="3" xfId="1170" quotePrefix="1" applyFont="1" applyFill="1" applyBorder="1" applyAlignment="1">
      <alignment horizontal="left" vertical="center" wrapText="1"/>
    </xf>
    <xf numFmtId="3" fontId="209" fillId="4" borderId="3" xfId="1" applyNumberFormat="1" applyFont="1" applyFill="1" applyBorder="1" applyAlignment="1" applyProtection="1">
      <alignment horizontal="right" vertical="center"/>
      <protection locked="0"/>
    </xf>
    <xf numFmtId="0" fontId="210" fillId="4" borderId="2" xfId="6" quotePrefix="1" applyFont="1" applyFill="1" applyBorder="1" applyAlignment="1" applyProtection="1">
      <alignment horizontal="left" vertical="center" wrapText="1"/>
      <protection hidden="1"/>
    </xf>
    <xf numFmtId="0" fontId="199" fillId="4" borderId="3" xfId="0" applyFont="1" applyFill="1" applyBorder="1" applyAlignment="1">
      <alignment horizontal="center" vertical="center" wrapText="1"/>
    </xf>
    <xf numFmtId="3" fontId="199" fillId="4" borderId="3" xfId="0" applyNumberFormat="1" applyFont="1" applyFill="1" applyBorder="1" applyAlignment="1">
      <alignment horizontal="center" vertical="center" wrapText="1"/>
    </xf>
    <xf numFmtId="3" fontId="200" fillId="4" borderId="3" xfId="1" applyNumberFormat="1" applyFont="1" applyFill="1" applyBorder="1" applyAlignment="1" applyProtection="1">
      <alignment horizontal="right" vertical="center"/>
      <protection locked="0"/>
    </xf>
    <xf numFmtId="3" fontId="200" fillId="4" borderId="3" xfId="0" applyNumberFormat="1" applyFont="1" applyFill="1" applyBorder="1" applyAlignment="1">
      <alignment horizontal="right" vertical="center"/>
    </xf>
    <xf numFmtId="4" fontId="211" fillId="4" borderId="3" xfId="0" applyNumberFormat="1" applyFont="1" applyFill="1" applyBorder="1" applyAlignment="1">
      <alignment horizontal="center" vertical="center"/>
    </xf>
    <xf numFmtId="0" fontId="10" fillId="4" borderId="3" xfId="1171" quotePrefix="1" applyFont="1" applyFill="1" applyBorder="1" applyAlignment="1">
      <alignment horizontal="left" vertical="center" wrapText="1"/>
    </xf>
    <xf numFmtId="3" fontId="10" fillId="4" borderId="3" xfId="1172" applyNumberFormat="1" applyFont="1" applyFill="1" applyBorder="1" applyAlignment="1">
      <alignment vertical="center"/>
    </xf>
    <xf numFmtId="0" fontId="56" fillId="4" borderId="2" xfId="0" quotePrefix="1" applyFont="1" applyFill="1" applyBorder="1" applyAlignment="1">
      <alignment horizontal="left" vertical="center" wrapText="1"/>
    </xf>
    <xf numFmtId="0" fontId="55" fillId="4" borderId="2" xfId="0" quotePrefix="1" applyFont="1" applyFill="1" applyBorder="1" applyAlignment="1">
      <alignment horizontal="left" vertical="center" wrapText="1"/>
    </xf>
    <xf numFmtId="3" fontId="56" fillId="4" borderId="2" xfId="3" applyNumberFormat="1" applyFont="1" applyFill="1" applyBorder="1" applyAlignment="1">
      <alignment vertical="center"/>
    </xf>
    <xf numFmtId="3" fontId="55" fillId="4" borderId="2" xfId="3" applyNumberFormat="1" applyFont="1" applyFill="1" applyBorder="1" applyAlignment="1">
      <alignment vertical="center"/>
    </xf>
    <xf numFmtId="0" fontId="55" fillId="4" borderId="2" xfId="0" applyFont="1" applyFill="1" applyBorder="1" applyAlignment="1">
      <alignment vertical="center"/>
    </xf>
    <xf numFmtId="0" fontId="212" fillId="4" borderId="3" xfId="0" applyFont="1" applyFill="1" applyBorder="1" applyAlignment="1">
      <alignment horizontal="left" vertical="center" wrapText="1"/>
    </xf>
    <xf numFmtId="0" fontId="213" fillId="4" borderId="3" xfId="0" quotePrefix="1" applyFont="1" applyFill="1" applyBorder="1" applyAlignment="1">
      <alignment horizontal="center" vertical="center" wrapText="1"/>
    </xf>
    <xf numFmtId="3" fontId="213" fillId="4" borderId="3" xfId="0" quotePrefix="1" applyNumberFormat="1" applyFont="1" applyFill="1" applyBorder="1" applyAlignment="1">
      <alignment horizontal="center" vertical="center" wrapText="1"/>
    </xf>
    <xf numFmtId="3" fontId="214" fillId="2" borderId="3" xfId="0" applyNumberFormat="1" applyFont="1" applyFill="1" applyBorder="1" applyAlignment="1">
      <alignment horizontal="right" vertical="center"/>
    </xf>
    <xf numFmtId="3" fontId="214" fillId="4" borderId="3" xfId="674" applyNumberFormat="1" applyFont="1" applyFill="1" applyBorder="1" applyAlignment="1">
      <alignment horizontal="right" vertical="center"/>
    </xf>
    <xf numFmtId="3" fontId="214" fillId="4" borderId="3" xfId="0" applyNumberFormat="1" applyFont="1" applyFill="1" applyBorder="1" applyAlignment="1">
      <alignment horizontal="center" vertical="center"/>
    </xf>
    <xf numFmtId="4" fontId="213" fillId="4" borderId="3" xfId="0" applyNumberFormat="1" applyFont="1" applyFill="1" applyBorder="1" applyAlignment="1">
      <alignment horizontal="center" vertical="center"/>
    </xf>
    <xf numFmtId="0" fontId="213" fillId="4" borderId="0" xfId="0" applyFont="1" applyFill="1" applyAlignment="1">
      <alignment vertical="center"/>
    </xf>
    <xf numFmtId="4" fontId="213" fillId="4" borderId="0" xfId="0" applyNumberFormat="1" applyFont="1" applyFill="1" applyAlignment="1">
      <alignment vertical="center"/>
    </xf>
    <xf numFmtId="0" fontId="212" fillId="4" borderId="3" xfId="0" quotePrefix="1" applyFont="1" applyFill="1" applyBorder="1" applyAlignment="1">
      <alignment horizontal="left" vertical="center" wrapText="1"/>
    </xf>
    <xf numFmtId="0" fontId="215" fillId="4" borderId="3" xfId="0" applyFont="1" applyFill="1" applyBorder="1" applyAlignment="1">
      <alignment horizontal="left" vertical="center" wrapText="1"/>
    </xf>
    <xf numFmtId="3" fontId="214" fillId="4" borderId="3" xfId="0" applyNumberFormat="1" applyFont="1" applyFill="1" applyBorder="1" applyAlignment="1">
      <alignment horizontal="right" vertical="center"/>
    </xf>
    <xf numFmtId="0" fontId="216" fillId="4" borderId="0" xfId="0" applyFont="1" applyFill="1" applyAlignment="1">
      <alignment vertical="center"/>
    </xf>
    <xf numFmtId="3" fontId="209" fillId="4" borderId="3" xfId="0" applyNumberFormat="1" applyFont="1" applyFill="1" applyBorder="1" applyAlignment="1">
      <alignment horizontal="center" vertical="center"/>
    </xf>
    <xf numFmtId="0" fontId="218" fillId="4" borderId="0" xfId="0" applyFont="1" applyFill="1" applyAlignment="1">
      <alignment vertical="center"/>
    </xf>
    <xf numFmtId="3" fontId="209" fillId="4" borderId="3" xfId="0" applyNumberFormat="1" applyFont="1" applyFill="1" applyBorder="1" applyAlignment="1">
      <alignment horizontal="right" vertical="center"/>
    </xf>
    <xf numFmtId="0" fontId="219" fillId="4" borderId="3" xfId="0" applyFont="1" applyFill="1" applyBorder="1" applyAlignment="1">
      <alignment horizontal="center" vertical="center"/>
    </xf>
    <xf numFmtId="0" fontId="220" fillId="4" borderId="3" xfId="0" quotePrefix="1" applyFont="1" applyFill="1" applyBorder="1" applyAlignment="1">
      <alignment horizontal="left" vertical="center" wrapText="1"/>
    </xf>
    <xf numFmtId="0" fontId="216" fillId="4" borderId="3" xfId="0" quotePrefix="1" applyFont="1" applyFill="1" applyBorder="1" applyAlignment="1">
      <alignment horizontal="center" vertical="center" wrapText="1"/>
    </xf>
    <xf numFmtId="3" fontId="216" fillId="4" borderId="3" xfId="0" quotePrefix="1" applyNumberFormat="1" applyFont="1" applyFill="1" applyBorder="1" applyAlignment="1">
      <alignment horizontal="center" vertical="center" wrapText="1"/>
    </xf>
    <xf numFmtId="3" fontId="221" fillId="2" borderId="3" xfId="0" applyNumberFormat="1" applyFont="1" applyFill="1" applyBorder="1" applyAlignment="1">
      <alignment horizontal="right" vertical="center"/>
    </xf>
    <xf numFmtId="3" fontId="221" fillId="4" borderId="3" xfId="0" applyNumberFormat="1" applyFont="1" applyFill="1" applyBorder="1" applyAlignment="1">
      <alignment horizontal="center" vertical="center"/>
    </xf>
    <xf numFmtId="4" fontId="216" fillId="4" borderId="3" xfId="0" applyNumberFormat="1" applyFont="1" applyFill="1" applyBorder="1" applyAlignment="1">
      <alignment horizontal="center" vertical="center"/>
    </xf>
    <xf numFmtId="4" fontId="216" fillId="4" borderId="0" xfId="0" applyNumberFormat="1" applyFont="1" applyFill="1" applyAlignment="1">
      <alignment vertical="center"/>
    </xf>
    <xf numFmtId="0" fontId="212" fillId="4" borderId="3" xfId="0" applyFont="1" applyFill="1" applyBorder="1" applyAlignment="1">
      <alignment horizontal="center" vertical="center"/>
    </xf>
    <xf numFmtId="0" fontId="213" fillId="4" borderId="3" xfId="0" applyFont="1" applyFill="1" applyBorder="1" applyAlignment="1">
      <alignment horizontal="center" vertical="center" wrapText="1"/>
    </xf>
    <xf numFmtId="3" fontId="213" fillId="4" borderId="3" xfId="0" applyNumberFormat="1" applyFont="1" applyFill="1" applyBorder="1" applyAlignment="1">
      <alignment horizontal="center" vertical="center" wrapText="1"/>
    </xf>
    <xf numFmtId="3" fontId="214" fillId="2" borderId="3" xfId="0" applyNumberFormat="1" applyFont="1" applyFill="1" applyBorder="1" applyAlignment="1">
      <alignment horizontal="right" vertical="center" wrapText="1"/>
    </xf>
    <xf numFmtId="3" fontId="214" fillId="2" borderId="32" xfId="0" applyNumberFormat="1" applyFont="1" applyFill="1" applyBorder="1" applyAlignment="1">
      <alignment horizontal="right" vertical="center" wrapText="1"/>
    </xf>
    <xf numFmtId="3" fontId="222" fillId="2" borderId="2" xfId="0" applyNumberFormat="1" applyFont="1" applyFill="1" applyBorder="1" applyAlignment="1">
      <alignment horizontal="right" vertical="center" wrapText="1"/>
    </xf>
    <xf numFmtId="3" fontId="214" fillId="4" borderId="3" xfId="0" applyNumberFormat="1" applyFont="1" applyFill="1" applyBorder="1" applyAlignment="1">
      <alignment horizontal="right" vertical="center" wrapText="1"/>
    </xf>
    <xf numFmtId="4" fontId="223" fillId="4" borderId="3" xfId="0" applyNumberFormat="1" applyFont="1" applyFill="1" applyBorder="1" applyAlignment="1">
      <alignment horizontal="center" vertical="center"/>
    </xf>
    <xf numFmtId="3" fontId="199" fillId="55" borderId="3" xfId="0" applyNumberFormat="1" applyFont="1" applyFill="1" applyBorder="1" applyAlignment="1">
      <alignment horizontal="center" vertical="center" wrapText="1"/>
    </xf>
    <xf numFmtId="0" fontId="199" fillId="55" borderId="3" xfId="0" applyFont="1" applyFill="1" applyBorder="1" applyAlignment="1">
      <alignment horizontal="center" vertical="center" wrapText="1"/>
    </xf>
    <xf numFmtId="3" fontId="200" fillId="2" borderId="3" xfId="1" applyNumberFormat="1" applyFont="1" applyFill="1" applyBorder="1" applyAlignment="1" applyProtection="1">
      <alignment horizontal="right" vertical="center"/>
      <protection locked="0"/>
    </xf>
    <xf numFmtId="3" fontId="225" fillId="2" borderId="3" xfId="3" applyNumberFormat="1" applyFont="1" applyFill="1" applyBorder="1" applyAlignment="1">
      <alignment horizontal="right" vertical="center"/>
    </xf>
    <xf numFmtId="0" fontId="54" fillId="4" borderId="2" xfId="0" applyFont="1" applyFill="1" applyBorder="1" applyAlignment="1">
      <alignment vertical="center"/>
    </xf>
    <xf numFmtId="3" fontId="226" fillId="0" borderId="3" xfId="1" applyNumberFormat="1" applyFont="1" applyFill="1" applyBorder="1" applyAlignment="1" applyProtection="1">
      <alignment vertical="center"/>
      <protection locked="0"/>
    </xf>
    <xf numFmtId="3" fontId="225" fillId="4" borderId="3" xfId="1" applyNumberFormat="1" applyFont="1" applyFill="1" applyBorder="1" applyAlignment="1" applyProtection="1">
      <alignment horizontal="right" vertical="center"/>
      <protection locked="0"/>
    </xf>
    <xf numFmtId="3" fontId="200" fillId="2" borderId="3" xfId="3" applyNumberFormat="1" applyFont="1" applyFill="1" applyBorder="1" applyAlignment="1">
      <alignment horizontal="right" vertical="center"/>
    </xf>
    <xf numFmtId="168" fontId="10" fillId="4" borderId="2" xfId="5" applyNumberFormat="1" applyFont="1" applyFill="1" applyBorder="1" applyAlignment="1">
      <alignment vertical="center"/>
    </xf>
    <xf numFmtId="3" fontId="225" fillId="2" borderId="3" xfId="1" applyNumberFormat="1" applyFont="1" applyFill="1" applyBorder="1" applyAlignment="1" applyProtection="1">
      <alignment horizontal="right" vertical="center"/>
      <protection locked="0"/>
    </xf>
    <xf numFmtId="0" fontId="197" fillId="4" borderId="3" xfId="0" applyFont="1" applyFill="1" applyBorder="1" applyAlignment="1">
      <alignment horizontal="left" vertical="center" wrapText="1"/>
    </xf>
    <xf numFmtId="3" fontId="199" fillId="4" borderId="3" xfId="0" quotePrefix="1" applyNumberFormat="1" applyFont="1" applyFill="1" applyBorder="1" applyAlignment="1">
      <alignment horizontal="center" vertical="center" wrapText="1"/>
    </xf>
    <xf numFmtId="0" fontId="199" fillId="4" borderId="3" xfId="0" quotePrefix="1" applyFont="1" applyFill="1" applyBorder="1" applyAlignment="1">
      <alignment horizontal="center" vertical="center" wrapText="1"/>
    </xf>
    <xf numFmtId="3" fontId="207" fillId="0" borderId="3" xfId="1" applyNumberFormat="1" applyFont="1" applyFill="1" applyBorder="1" applyAlignment="1">
      <alignment vertical="center"/>
    </xf>
    <xf numFmtId="3" fontId="200" fillId="2" borderId="3" xfId="0" applyNumberFormat="1" applyFont="1" applyFill="1" applyBorder="1" applyAlignment="1">
      <alignment horizontal="right" vertical="center"/>
    </xf>
    <xf numFmtId="3" fontId="199" fillId="4" borderId="0" xfId="0" applyNumberFormat="1" applyFont="1" applyFill="1" applyAlignment="1">
      <alignment vertical="center"/>
    </xf>
    <xf numFmtId="3" fontId="199" fillId="52" borderId="3" xfId="0" applyNumberFormat="1" applyFont="1" applyFill="1" applyBorder="1" applyAlignment="1">
      <alignment horizontal="center" vertical="center" wrapText="1"/>
    </xf>
    <xf numFmtId="0" fontId="199" fillId="52" borderId="3" xfId="0" applyFont="1" applyFill="1" applyBorder="1" applyAlignment="1">
      <alignment horizontal="center" vertical="center" wrapText="1"/>
    </xf>
    <xf numFmtId="0" fontId="218" fillId="4" borderId="2" xfId="273" applyFont="1" applyFill="1" applyBorder="1" applyAlignment="1">
      <alignment horizontal="left" vertical="center" wrapText="1"/>
    </xf>
    <xf numFmtId="4" fontId="224" fillId="4" borderId="3" xfId="0" applyNumberFormat="1" applyFont="1" applyFill="1" applyBorder="1" applyAlignment="1">
      <alignment horizontal="center" vertical="center"/>
    </xf>
    <xf numFmtId="0" fontId="217" fillId="4" borderId="3" xfId="0" applyFont="1" applyFill="1" applyBorder="1" applyAlignment="1">
      <alignment horizontal="center" vertical="center"/>
    </xf>
    <xf numFmtId="3" fontId="210" fillId="4" borderId="3" xfId="0" quotePrefix="1" applyNumberFormat="1" applyFont="1" applyFill="1" applyBorder="1" applyAlignment="1">
      <alignment horizontal="center" vertical="center" wrapText="1"/>
    </xf>
    <xf numFmtId="4" fontId="210" fillId="4" borderId="0" xfId="0" applyNumberFormat="1" applyFont="1" applyFill="1" applyAlignment="1">
      <alignment vertical="center"/>
    </xf>
    <xf numFmtId="0" fontId="210" fillId="4" borderId="0" xfId="0" applyFont="1" applyFill="1" applyAlignment="1">
      <alignment vertical="center"/>
    </xf>
    <xf numFmtId="0" fontId="199" fillId="4" borderId="2" xfId="0" quotePrefix="1" applyFont="1" applyFill="1" applyBorder="1" applyAlignment="1">
      <alignment horizontal="left" vertical="center" wrapText="1"/>
    </xf>
    <xf numFmtId="4" fontId="175" fillId="4" borderId="3" xfId="0" applyNumberFormat="1" applyFont="1" applyFill="1" applyBorder="1" applyAlignment="1">
      <alignment horizontal="center" vertical="center"/>
    </xf>
    <xf numFmtId="3" fontId="214" fillId="4" borderId="3" xfId="3" applyNumberFormat="1" applyFont="1" applyFill="1" applyBorder="1" applyAlignment="1">
      <alignment horizontal="right" vertical="center"/>
    </xf>
    <xf numFmtId="0" fontId="213" fillId="4" borderId="2" xfId="273" applyFont="1" applyFill="1" applyBorder="1" applyAlignment="1">
      <alignment horizontal="left" vertical="center" wrapText="1"/>
    </xf>
    <xf numFmtId="3" fontId="214" fillId="2" borderId="3" xfId="1" applyNumberFormat="1" applyFont="1" applyFill="1" applyBorder="1" applyAlignment="1" applyProtection="1">
      <alignment horizontal="right" vertical="center"/>
      <protection locked="0"/>
    </xf>
    <xf numFmtId="3" fontId="30" fillId="2" borderId="32" xfId="1" applyNumberFormat="1" applyFont="1" applyFill="1" applyBorder="1" applyAlignment="1" applyProtection="1">
      <alignment horizontal="right" vertical="center"/>
      <protection locked="0"/>
    </xf>
    <xf numFmtId="3" fontId="213" fillId="4" borderId="0" xfId="0" applyNumberFormat="1" applyFont="1" applyFill="1" applyAlignment="1">
      <alignment vertical="center"/>
    </xf>
    <xf numFmtId="0" fontId="10" fillId="4" borderId="2" xfId="273" applyFont="1" applyFill="1" applyBorder="1" applyAlignment="1">
      <alignment horizontal="left" vertical="center" wrapText="1"/>
    </xf>
    <xf numFmtId="3" fontId="200" fillId="4" borderId="3" xfId="3" applyNumberFormat="1" applyFont="1" applyFill="1" applyBorder="1" applyAlignment="1">
      <alignment horizontal="right" vertical="center"/>
    </xf>
    <xf numFmtId="2" fontId="209" fillId="4" borderId="3" xfId="1" applyNumberFormat="1" applyFont="1" applyFill="1" applyBorder="1" applyAlignment="1">
      <alignment horizontal="right" vertical="center"/>
    </xf>
    <xf numFmtId="2" fontId="209" fillId="4" borderId="3" xfId="3" applyNumberFormat="1" applyFont="1" applyFill="1" applyBorder="1" applyAlignment="1">
      <alignment horizontal="right" vertical="center"/>
    </xf>
    <xf numFmtId="0" fontId="199" fillId="4" borderId="3" xfId="1171" applyFont="1" applyFill="1" applyBorder="1" applyAlignment="1">
      <alignment vertical="center" wrapText="1"/>
    </xf>
    <xf numFmtId="3" fontId="227" fillId="4" borderId="2" xfId="3" applyNumberFormat="1" applyFont="1" applyFill="1" applyBorder="1" applyAlignment="1">
      <alignment vertical="center"/>
    </xf>
    <xf numFmtId="3" fontId="199" fillId="4" borderId="3" xfId="1171" applyNumberFormat="1" applyFont="1" applyFill="1" applyBorder="1" applyAlignment="1">
      <alignment vertical="center" wrapText="1"/>
    </xf>
    <xf numFmtId="3" fontId="225" fillId="2" borderId="3" xfId="0" applyNumberFormat="1" applyFont="1" applyFill="1" applyBorder="1" applyAlignment="1">
      <alignment horizontal="right" vertical="center" wrapText="1"/>
    </xf>
    <xf numFmtId="3" fontId="214" fillId="4" borderId="3" xfId="1" applyNumberFormat="1" applyFont="1" applyFill="1" applyBorder="1" applyAlignment="1" applyProtection="1">
      <alignment horizontal="right" vertical="center"/>
      <protection locked="0"/>
    </xf>
    <xf numFmtId="37" fontId="10" fillId="4" borderId="0" xfId="5" applyNumberFormat="1" applyFont="1" applyFill="1" applyAlignment="1">
      <alignment vertical="center"/>
    </xf>
    <xf numFmtId="3" fontId="194" fillId="2" borderId="34" xfId="0" applyNumberFormat="1" applyFont="1" applyFill="1" applyBorder="1" applyAlignment="1">
      <alignment vertical="center" wrapText="1"/>
    </xf>
    <xf numFmtId="168" fontId="16" fillId="0" borderId="3" xfId="1044" applyNumberFormat="1" applyFont="1" applyBorder="1"/>
    <xf numFmtId="168" fontId="16" fillId="4" borderId="3" xfId="1044" applyNumberFormat="1" applyFont="1" applyFill="1" applyBorder="1" applyAlignment="1">
      <alignment horizontal="right"/>
    </xf>
    <xf numFmtId="168" fontId="207" fillId="0" borderId="3" xfId="1044" applyNumberFormat="1" applyFont="1" applyBorder="1"/>
    <xf numFmtId="168" fontId="16" fillId="4" borderId="3" xfId="1044" applyNumberFormat="1" applyFont="1" applyFill="1" applyBorder="1" applyAlignment="1">
      <alignment horizontal="right" vertical="center"/>
    </xf>
    <xf numFmtId="3" fontId="16" fillId="0" borderId="3" xfId="1" applyNumberFormat="1" applyFont="1" applyFill="1" applyBorder="1" applyAlignment="1">
      <alignment vertical="center"/>
    </xf>
    <xf numFmtId="3" fontId="30" fillId="58" borderId="3" xfId="1" applyNumberFormat="1" applyFont="1" applyFill="1" applyBorder="1" applyAlignment="1">
      <alignment horizontal="right" vertical="center"/>
    </xf>
    <xf numFmtId="168" fontId="10" fillId="4" borderId="0" xfId="0" applyNumberFormat="1" applyFont="1" applyFill="1" applyAlignment="1">
      <alignment vertical="center"/>
    </xf>
    <xf numFmtId="3" fontId="216" fillId="4" borderId="0" xfId="0" applyNumberFormat="1" applyFont="1" applyFill="1" applyAlignment="1">
      <alignment vertical="center"/>
    </xf>
    <xf numFmtId="0" fontId="53" fillId="4" borderId="0" xfId="0" applyFont="1" applyFill="1" applyAlignment="1">
      <alignment horizontal="center" vertical="center"/>
    </xf>
    <xf numFmtId="0" fontId="12" fillId="4" borderId="0" xfId="0" applyFont="1" applyFill="1" applyAlignment="1">
      <alignment horizontal="center" vertical="center" wrapText="1"/>
    </xf>
    <xf numFmtId="0" fontId="11" fillId="4" borderId="0" xfId="0" applyFont="1" applyFill="1" applyAlignment="1">
      <alignment horizontal="center" vertical="center" wrapText="1"/>
    </xf>
    <xf numFmtId="3" fontId="172" fillId="4" borderId="3" xfId="0" applyNumberFormat="1" applyFont="1" applyFill="1" applyBorder="1" applyAlignment="1">
      <alignment horizontal="center" vertical="center" wrapText="1"/>
    </xf>
    <xf numFmtId="3" fontId="172" fillId="2" borderId="3" xfId="0" applyNumberFormat="1" applyFont="1" applyFill="1" applyBorder="1" applyAlignment="1">
      <alignment horizontal="center" vertical="center" wrapText="1"/>
    </xf>
    <xf numFmtId="4" fontId="172" fillId="4" borderId="3" xfId="344" applyNumberFormat="1" applyFont="1" applyFill="1" applyBorder="1" applyAlignment="1">
      <alignment horizontal="center" vertical="center" wrapText="1"/>
    </xf>
    <xf numFmtId="3" fontId="11" fillId="4" borderId="3"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3" xfId="0" applyFont="1" applyFill="1" applyBorder="1" applyAlignment="1">
      <alignment horizontal="center" vertical="center"/>
    </xf>
    <xf numFmtId="0" fontId="178" fillId="4" borderId="0" xfId="543" applyFont="1" applyFill="1" applyAlignment="1" applyProtection="1">
      <alignment horizontal="right" vertical="center" wrapText="1"/>
    </xf>
    <xf numFmtId="0" fontId="174" fillId="4" borderId="0" xfId="543" applyFont="1" applyFill="1" applyAlignment="1" applyProtection="1">
      <alignment vertical="center" wrapText="1"/>
    </xf>
    <xf numFmtId="0" fontId="174" fillId="4" borderId="0" xfId="543" applyFont="1" applyFill="1" applyAlignment="1" applyProtection="1">
      <alignment horizontal="right" vertical="center" wrapText="1"/>
    </xf>
    <xf numFmtId="0" fontId="174" fillId="4" borderId="0" xfId="543" applyFont="1" applyFill="1" applyAlignment="1" applyProtection="1">
      <alignment horizontal="center" vertical="center" wrapText="1"/>
    </xf>
    <xf numFmtId="0" fontId="36" fillId="4" borderId="0" xfId="543" applyFont="1" applyFill="1" applyAlignment="1" applyProtection="1">
      <alignment horizontal="right" vertical="center" wrapText="1"/>
    </xf>
    <xf numFmtId="4" fontId="178" fillId="4" borderId="0" xfId="543" applyNumberFormat="1" applyFont="1" applyFill="1" applyAlignment="1" applyProtection="1">
      <alignment horizontal="right" vertical="center" wrapText="1"/>
    </xf>
    <xf numFmtId="4" fontId="174" fillId="4" borderId="0" xfId="543" applyNumberFormat="1" applyFont="1" applyFill="1" applyAlignment="1" applyProtection="1">
      <alignment horizontal="right" vertical="center" wrapText="1"/>
    </xf>
    <xf numFmtId="0" fontId="16" fillId="4" borderId="0" xfId="543" applyFont="1" applyFill="1" applyAlignment="1" applyProtection="1">
      <alignment horizontal="center" vertical="center" wrapText="1"/>
    </xf>
    <xf numFmtId="0" fontId="10" fillId="4" borderId="0" xfId="543" applyFont="1" applyFill="1" applyAlignment="1" applyProtection="1">
      <alignment horizontal="justify" vertical="center" wrapText="1"/>
    </xf>
    <xf numFmtId="10" fontId="178" fillId="4" borderId="0" xfId="543" applyNumberFormat="1" applyFont="1" applyFill="1" applyAlignment="1" applyProtection="1">
      <alignment horizontal="right" vertical="center" wrapText="1"/>
    </xf>
    <xf numFmtId="0" fontId="28" fillId="0" borderId="11" xfId="0" applyFont="1" applyBorder="1" applyAlignment="1">
      <alignment horizontal="left" vertical="center" wrapText="1"/>
    </xf>
    <xf numFmtId="0" fontId="0" fillId="0" borderId="6" xfId="0" applyBorder="1" applyAlignment="1">
      <alignment horizontal="left" vertical="center" wrapText="1"/>
    </xf>
    <xf numFmtId="3" fontId="24" fillId="0" borderId="7" xfId="0" applyNumberFormat="1" applyFont="1" applyBorder="1" applyAlignment="1">
      <alignment horizontal="center" vertical="center" wrapText="1"/>
    </xf>
    <xf numFmtId="3" fontId="24" fillId="0" borderId="5" xfId="0" applyNumberFormat="1" applyFont="1" applyBorder="1" applyAlignment="1">
      <alignment horizontal="center" vertical="center" wrapText="1"/>
    </xf>
    <xf numFmtId="3" fontId="20" fillId="0" borderId="8" xfId="0" applyNumberFormat="1" applyFont="1" applyBorder="1" applyAlignment="1">
      <alignment horizontal="center" vertical="center" wrapText="1"/>
    </xf>
    <xf numFmtId="3" fontId="20" fillId="0" borderId="10" xfId="0" applyNumberFormat="1" applyFont="1" applyBorder="1" applyAlignment="1">
      <alignment horizontal="center" vertical="center" wrapText="1"/>
    </xf>
    <xf numFmtId="0" fontId="24" fillId="0" borderId="7" xfId="0" applyFont="1" applyBorder="1" applyAlignment="1">
      <alignment horizontal="center" vertical="center" wrapText="1"/>
    </xf>
    <xf numFmtId="0" fontId="24" fillId="0" borderId="5" xfId="0" applyFont="1" applyBorder="1" applyAlignment="1">
      <alignment horizontal="center" vertical="center" wrapText="1"/>
    </xf>
    <xf numFmtId="3" fontId="20" fillId="0" borderId="9" xfId="0" applyNumberFormat="1" applyFont="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3" fillId="0" borderId="0" xfId="0" applyFont="1" applyAlignment="1">
      <alignment horizontal="center" vertical="center" wrapText="1"/>
    </xf>
    <xf numFmtId="49" fontId="24" fillId="0" borderId="7" xfId="0" applyNumberFormat="1" applyFont="1" applyBorder="1" applyAlignment="1">
      <alignment horizontal="center" vertical="center" wrapText="1"/>
    </xf>
    <xf numFmtId="49" fontId="24" fillId="0" borderId="5" xfId="0" applyNumberFormat="1" applyFont="1" applyBorder="1" applyAlignment="1">
      <alignment horizontal="center" vertical="center" wrapText="1"/>
    </xf>
  </cellXfs>
  <cellStyles count="1296">
    <cellStyle name="_x0001_" xfId="7" xr:uid="{00000000-0005-0000-0000-000000000000}"/>
    <cellStyle name="??" xfId="8" xr:uid="{00000000-0005-0000-0000-000001000000}"/>
    <cellStyle name="?? [0.00]_ Att. 1- Cover" xfId="9" xr:uid="{00000000-0005-0000-0000-000002000000}"/>
    <cellStyle name="?? [0]" xfId="10" xr:uid="{00000000-0005-0000-0000-000003000000}"/>
    <cellStyle name="?_x001d_??%U©÷u&amp;H©÷9_x0008_? s_x000a__x0007__x0001__x0001_" xfId="11" xr:uid="{00000000-0005-0000-0000-000004000000}"/>
    <cellStyle name="???? [0.00]_PRODUCT DETAIL Q1" xfId="12" xr:uid="{00000000-0005-0000-0000-000005000000}"/>
    <cellStyle name="????_PRODUCT DETAIL Q1" xfId="13" xr:uid="{00000000-0005-0000-0000-000006000000}"/>
    <cellStyle name="???[0]_?? DI" xfId="14" xr:uid="{00000000-0005-0000-0000-000007000000}"/>
    <cellStyle name="???_?? DI" xfId="15" xr:uid="{00000000-0005-0000-0000-000008000000}"/>
    <cellStyle name="??[0]_BRE" xfId="16" xr:uid="{00000000-0005-0000-0000-000009000000}"/>
    <cellStyle name="??_ Att. 1- Cover" xfId="17" xr:uid="{00000000-0005-0000-0000-00000A000000}"/>
    <cellStyle name="??A? [0]_ÿÿÿÿÿÿ_1_¢¬???¢â? " xfId="18" xr:uid="{00000000-0005-0000-0000-00000B000000}"/>
    <cellStyle name="??A?_ÿÿÿÿÿÿ_1_¢¬???¢â? " xfId="19" xr:uid="{00000000-0005-0000-0000-00000C000000}"/>
    <cellStyle name="?¡±¢¥?_?¨ù??¢´¢¥_¢¬???¢â? " xfId="20" xr:uid="{00000000-0005-0000-0000-00000D000000}"/>
    <cellStyle name="?ðÇ%U?&amp;H?_x0008_?s_x000a__x0007__x0001__x0001_" xfId="21" xr:uid="{00000000-0005-0000-0000-00000E000000}"/>
    <cellStyle name="_130307 So sanh thuc hien 2012 - du toan 2012 moi (pan khac)" xfId="22" xr:uid="{00000000-0005-0000-0000-00000F000000}"/>
    <cellStyle name="_130313 Mau  bieu bao cao nguon luc cua dia phuong sua" xfId="23" xr:uid="{00000000-0005-0000-0000-000010000000}"/>
    <cellStyle name="_130818 Tong hop Danh gia thu 2013" xfId="24" xr:uid="{00000000-0005-0000-0000-000011000000}"/>
    <cellStyle name="_130818 Tong hop Danh gia thu 2013_140921 bu giam thu ND 209" xfId="25" xr:uid="{00000000-0005-0000-0000-000012000000}"/>
    <cellStyle name="_Bang Chi tieu (2)" xfId="26" xr:uid="{00000000-0005-0000-0000-000013000000}"/>
    <cellStyle name="_DG 2012-DT2013 - Theo sac thue -sua" xfId="27" xr:uid="{00000000-0005-0000-0000-000014000000}"/>
    <cellStyle name="_DG 2012-DT2013 - Theo sac thue -sua_27-8Tong hop PA uoc 2012-DT 2013 -PA 420.000 ty-490.000 ty chuyen doi" xfId="28" xr:uid="{00000000-0005-0000-0000-000015000000}"/>
    <cellStyle name="_KT (2)" xfId="29" xr:uid="{00000000-0005-0000-0000-000016000000}"/>
    <cellStyle name="_KT (2)_1" xfId="30" xr:uid="{00000000-0005-0000-0000-000017000000}"/>
    <cellStyle name="_KT (2)_2" xfId="31" xr:uid="{00000000-0005-0000-0000-000018000000}"/>
    <cellStyle name="_KT (2)_2_TG-TH" xfId="32" xr:uid="{00000000-0005-0000-0000-000019000000}"/>
    <cellStyle name="_KT (2)_3" xfId="33" xr:uid="{00000000-0005-0000-0000-00001A000000}"/>
    <cellStyle name="_KT (2)_3_TG-TH" xfId="34" xr:uid="{00000000-0005-0000-0000-00001B000000}"/>
    <cellStyle name="_KT (2)_4" xfId="35" xr:uid="{00000000-0005-0000-0000-00001C000000}"/>
    <cellStyle name="_KT (2)_4_TG-TH" xfId="36" xr:uid="{00000000-0005-0000-0000-00001D000000}"/>
    <cellStyle name="_KT (2)_5" xfId="37" xr:uid="{00000000-0005-0000-0000-00001E000000}"/>
    <cellStyle name="_KT (2)_TG-TH" xfId="38" xr:uid="{00000000-0005-0000-0000-00001F000000}"/>
    <cellStyle name="_KT_TG" xfId="39" xr:uid="{00000000-0005-0000-0000-000020000000}"/>
    <cellStyle name="_KT_TG_1" xfId="40" xr:uid="{00000000-0005-0000-0000-000021000000}"/>
    <cellStyle name="_KT_TG_2" xfId="41" xr:uid="{00000000-0005-0000-0000-000022000000}"/>
    <cellStyle name="_KT_TG_3" xfId="42" xr:uid="{00000000-0005-0000-0000-000023000000}"/>
    <cellStyle name="_KT_TG_4" xfId="43" xr:uid="{00000000-0005-0000-0000-000024000000}"/>
    <cellStyle name="_Phu luc kem BC gui VP Bo (18.2)" xfId="44" xr:uid="{00000000-0005-0000-0000-000025000000}"/>
    <cellStyle name="_TG-TH" xfId="45" xr:uid="{00000000-0005-0000-0000-000026000000}"/>
    <cellStyle name="_TG-TH_1" xfId="46" xr:uid="{00000000-0005-0000-0000-000027000000}"/>
    <cellStyle name="_TG-TH_2" xfId="47" xr:uid="{00000000-0005-0000-0000-000028000000}"/>
    <cellStyle name="_TG-TH_3" xfId="48" xr:uid="{00000000-0005-0000-0000-000029000000}"/>
    <cellStyle name="_TG-TH_4" xfId="49" xr:uid="{00000000-0005-0000-0000-00002A000000}"/>
    <cellStyle name="~1" xfId="50" xr:uid="{00000000-0005-0000-0000-00002B000000}"/>
    <cellStyle name="0" xfId="51" xr:uid="{00000000-0005-0000-0000-00002C000000}"/>
    <cellStyle name="1" xfId="52" xr:uid="{00000000-0005-0000-0000-00002D000000}"/>
    <cellStyle name="1_2-Ha GiangBB2011-V1" xfId="53" xr:uid="{00000000-0005-0000-0000-00002E000000}"/>
    <cellStyle name="1_50-BB Vung tau 2011" xfId="54" xr:uid="{00000000-0005-0000-0000-00002F000000}"/>
    <cellStyle name="1_52-Long An2011.BB-V1" xfId="55" xr:uid="{00000000-0005-0000-0000-000030000000}"/>
    <cellStyle name="¹éºÐÀ²_±âÅ¸" xfId="56" xr:uid="{00000000-0005-0000-0000-000031000000}"/>
    <cellStyle name="2" xfId="57" xr:uid="{00000000-0005-0000-0000-000032000000}"/>
    <cellStyle name="20" xfId="58" xr:uid="{00000000-0005-0000-0000-000033000000}"/>
    <cellStyle name="20% - Accent1 2" xfId="59" xr:uid="{00000000-0005-0000-0000-000034000000}"/>
    <cellStyle name="20% - Accent2 2" xfId="60" xr:uid="{00000000-0005-0000-0000-000035000000}"/>
    <cellStyle name="20% - Accent3 2" xfId="61" xr:uid="{00000000-0005-0000-0000-000036000000}"/>
    <cellStyle name="20% - Accent4 2" xfId="62" xr:uid="{00000000-0005-0000-0000-000037000000}"/>
    <cellStyle name="20% - Accent5 2" xfId="63" xr:uid="{00000000-0005-0000-0000-000038000000}"/>
    <cellStyle name="20% - Accent6 2" xfId="64" xr:uid="{00000000-0005-0000-0000-000039000000}"/>
    <cellStyle name="3" xfId="65" xr:uid="{00000000-0005-0000-0000-00003A000000}"/>
    <cellStyle name="4" xfId="66" xr:uid="{00000000-0005-0000-0000-00003B000000}"/>
    <cellStyle name="40% - Accent1 2" xfId="67" xr:uid="{00000000-0005-0000-0000-00003C000000}"/>
    <cellStyle name="40% - Accent2 2" xfId="68" xr:uid="{00000000-0005-0000-0000-00003D000000}"/>
    <cellStyle name="40% - Accent3 2" xfId="69" xr:uid="{00000000-0005-0000-0000-00003E000000}"/>
    <cellStyle name="40% - Accent4 2" xfId="70" xr:uid="{00000000-0005-0000-0000-00003F000000}"/>
    <cellStyle name="40% - Accent5 2" xfId="71" xr:uid="{00000000-0005-0000-0000-000040000000}"/>
    <cellStyle name="40% - Accent6 2" xfId="72" xr:uid="{00000000-0005-0000-0000-000041000000}"/>
    <cellStyle name="60% - Accent1 2" xfId="73" xr:uid="{00000000-0005-0000-0000-000042000000}"/>
    <cellStyle name="60% - Accent2 2" xfId="74" xr:uid="{00000000-0005-0000-0000-000043000000}"/>
    <cellStyle name="60% - Accent3 2" xfId="75" xr:uid="{00000000-0005-0000-0000-000044000000}"/>
    <cellStyle name="60% - Accent4 2" xfId="76" xr:uid="{00000000-0005-0000-0000-000045000000}"/>
    <cellStyle name="60% - Accent5 2" xfId="77" xr:uid="{00000000-0005-0000-0000-000046000000}"/>
    <cellStyle name="60% - Accent6 2" xfId="78" xr:uid="{00000000-0005-0000-0000-000047000000}"/>
    <cellStyle name="Accent1 2" xfId="79" xr:uid="{00000000-0005-0000-0000-000048000000}"/>
    <cellStyle name="Accent2 2" xfId="80" xr:uid="{00000000-0005-0000-0000-000049000000}"/>
    <cellStyle name="Accent3 2" xfId="81" xr:uid="{00000000-0005-0000-0000-00004A000000}"/>
    <cellStyle name="Accent4 2" xfId="82" xr:uid="{00000000-0005-0000-0000-00004B000000}"/>
    <cellStyle name="Accent5 2" xfId="83" xr:uid="{00000000-0005-0000-0000-00004C000000}"/>
    <cellStyle name="Accent6 2" xfId="84" xr:uid="{00000000-0005-0000-0000-00004D000000}"/>
    <cellStyle name="ÅëÈ­ [0]_¿ì¹°Åë" xfId="85" xr:uid="{00000000-0005-0000-0000-00004E000000}"/>
    <cellStyle name="AeE­ [0]_INQUIRY ¿?¾÷AßAø " xfId="86" xr:uid="{00000000-0005-0000-0000-00004F000000}"/>
    <cellStyle name="ÅëÈ­ [0]_laroux" xfId="87" xr:uid="{00000000-0005-0000-0000-000050000000}"/>
    <cellStyle name="ÅëÈ­_¿ì¹°Åë" xfId="88" xr:uid="{00000000-0005-0000-0000-000051000000}"/>
    <cellStyle name="AeE­_INQUIRY ¿?¾÷AßAø " xfId="89" xr:uid="{00000000-0005-0000-0000-000052000000}"/>
    <cellStyle name="ÅëÈ­_laroux" xfId="90" xr:uid="{00000000-0005-0000-0000-000053000000}"/>
    <cellStyle name="args.style" xfId="91" xr:uid="{00000000-0005-0000-0000-000054000000}"/>
    <cellStyle name="ÄÞ¸¶ [0]_¿ì¹°Åë" xfId="92" xr:uid="{00000000-0005-0000-0000-000055000000}"/>
    <cellStyle name="AÞ¸¶ [0]_INQUIRY ¿?¾÷AßAø " xfId="93" xr:uid="{00000000-0005-0000-0000-000056000000}"/>
    <cellStyle name="ÄÞ¸¶ [0]_laroux" xfId="94" xr:uid="{00000000-0005-0000-0000-000057000000}"/>
    <cellStyle name="ÄÞ¸¶_¿ì¹°Åë" xfId="95" xr:uid="{00000000-0005-0000-0000-000058000000}"/>
    <cellStyle name="AÞ¸¶_INQUIRY ¿?¾÷AßAø " xfId="96" xr:uid="{00000000-0005-0000-0000-000059000000}"/>
    <cellStyle name="ÄÞ¸¶_laroux" xfId="97" xr:uid="{00000000-0005-0000-0000-00005A000000}"/>
    <cellStyle name="AutoFormat Options" xfId="98" xr:uid="{00000000-0005-0000-0000-00005B000000}"/>
    <cellStyle name="Bad 2" xfId="99" xr:uid="{00000000-0005-0000-0000-00005C000000}"/>
    <cellStyle name="Body" xfId="100" xr:uid="{00000000-0005-0000-0000-00005D000000}"/>
    <cellStyle name="C?AØ_¿?¾÷CoE² " xfId="101" xr:uid="{00000000-0005-0000-0000-00005E000000}"/>
    <cellStyle name="Ç¥ÁØ_#2(M17)_1" xfId="102" xr:uid="{00000000-0005-0000-0000-00005F000000}"/>
    <cellStyle name="C￥AØ_¿μ¾÷CoE² " xfId="103" xr:uid="{00000000-0005-0000-0000-000060000000}"/>
    <cellStyle name="Ç¥ÁØ_±³°¢¼ö·®" xfId="104" xr:uid="{00000000-0005-0000-0000-000061000000}"/>
    <cellStyle name="C￥AØ_Sheet1_¿μ¾÷CoE² " xfId="105" xr:uid="{00000000-0005-0000-0000-000062000000}"/>
    <cellStyle name="Calc Currency (0)" xfId="106" xr:uid="{00000000-0005-0000-0000-000063000000}"/>
    <cellStyle name="Calc Currency (2)" xfId="107" xr:uid="{00000000-0005-0000-0000-000064000000}"/>
    <cellStyle name="Calc Percent (0)" xfId="108" xr:uid="{00000000-0005-0000-0000-000065000000}"/>
    <cellStyle name="Calc Percent (1)" xfId="109" xr:uid="{00000000-0005-0000-0000-000066000000}"/>
    <cellStyle name="Calc Percent (2)" xfId="110" xr:uid="{00000000-0005-0000-0000-000067000000}"/>
    <cellStyle name="Calc Units (0)" xfId="111" xr:uid="{00000000-0005-0000-0000-000068000000}"/>
    <cellStyle name="Calc Units (1)" xfId="112" xr:uid="{00000000-0005-0000-0000-000069000000}"/>
    <cellStyle name="Calc Units (2)" xfId="113" xr:uid="{00000000-0005-0000-0000-00006A000000}"/>
    <cellStyle name="Calculation 2" xfId="114" xr:uid="{00000000-0005-0000-0000-00006B000000}"/>
    <cellStyle name="category" xfId="115" xr:uid="{00000000-0005-0000-0000-00006C000000}"/>
    <cellStyle name="Check Cell 2" xfId="116" xr:uid="{00000000-0005-0000-0000-0000CE000000}"/>
    <cellStyle name="Chi phÝ kh¸c_Book1" xfId="117" xr:uid="{00000000-0005-0000-0000-0000CF000000}"/>
    <cellStyle name="Comma" xfId="5" builtinId="3"/>
    <cellStyle name="Comma  - Style1" xfId="118" xr:uid="{00000000-0005-0000-0000-00006E000000}"/>
    <cellStyle name="Comma  - Style2" xfId="119" xr:uid="{00000000-0005-0000-0000-00006F000000}"/>
    <cellStyle name="Comma  - Style3" xfId="120" xr:uid="{00000000-0005-0000-0000-000070000000}"/>
    <cellStyle name="Comma  - Style4" xfId="121" xr:uid="{00000000-0005-0000-0000-000071000000}"/>
    <cellStyle name="Comma  - Style5" xfId="122" xr:uid="{00000000-0005-0000-0000-000072000000}"/>
    <cellStyle name="Comma  - Style6" xfId="123" xr:uid="{00000000-0005-0000-0000-000073000000}"/>
    <cellStyle name="Comma  - Style7" xfId="124" xr:uid="{00000000-0005-0000-0000-000074000000}"/>
    <cellStyle name="Comma  - Style8" xfId="125" xr:uid="{00000000-0005-0000-0000-000075000000}"/>
    <cellStyle name="Comma [00]" xfId="126" xr:uid="{00000000-0005-0000-0000-000076000000}"/>
    <cellStyle name="Comma 10" xfId="127" xr:uid="{00000000-0005-0000-0000-000077000000}"/>
    <cellStyle name="Comma 11" xfId="128" xr:uid="{00000000-0005-0000-0000-000078000000}"/>
    <cellStyle name="Comma 12" xfId="129" xr:uid="{00000000-0005-0000-0000-000079000000}"/>
    <cellStyle name="Comma 13" xfId="477" xr:uid="{00000000-0005-0000-0000-00007A000000}"/>
    <cellStyle name="Comma 14" xfId="509" xr:uid="{00000000-0005-0000-0000-00007B000000}"/>
    <cellStyle name="Comma 15" xfId="542" xr:uid="{00000000-0005-0000-0000-00007C000000}"/>
    <cellStyle name="Comma 16" xfId="546" xr:uid="{15A4561D-8699-40DB-BCBB-85E7622B745C}"/>
    <cellStyle name="Comma 16 2" xfId="1044" xr:uid="{00000000-0005-0000-0000-00004E020000}"/>
    <cellStyle name="Comma 17" xfId="579" xr:uid="{0501AA6E-1D92-41FC-A343-C5B4FB7F26DC}"/>
    <cellStyle name="Comma 17 2" xfId="1045" xr:uid="{00000000-0005-0000-0000-000050020000}"/>
    <cellStyle name="Comma 18" xfId="672" xr:uid="{9E59B218-CA54-40C6-B741-D09D3A85C430}"/>
    <cellStyle name="Comma 19" xfId="545" xr:uid="{D6541E40-54B8-4F6D-9AEF-BC6E2275C13C}"/>
    <cellStyle name="Comma 2" xfId="1" xr:uid="{00000000-0005-0000-0000-00007D000000}"/>
    <cellStyle name="Comma 2 2" xfId="131" xr:uid="{00000000-0005-0000-0000-00007E000000}"/>
    <cellStyle name="Comma 2 2 10" xfId="1174" xr:uid="{00000000-0005-0000-0000-00007C000000}"/>
    <cellStyle name="Comma 2 2 2" xfId="132" xr:uid="{00000000-0005-0000-0000-00007F000000}"/>
    <cellStyle name="Comma 2 2 2 2" xfId="447" xr:uid="{00000000-0005-0000-0000-000080000000}"/>
    <cellStyle name="Comma 2 2 2 2 2" xfId="512" xr:uid="{00000000-0005-0000-0000-000081000000}"/>
    <cellStyle name="Comma 2 2 2 2 2 2" xfId="642" xr:uid="{D0521945-9789-4D1A-827C-E8B89F6CF9A0}"/>
    <cellStyle name="Comma 2 2 2 2 2 2 2" xfId="888" xr:uid="{D0521945-9789-4D1A-827C-E8B89F6CF9A0}"/>
    <cellStyle name="Comma 2 2 2 2 2 2 3" xfId="1139" xr:uid="{D0521945-9789-4D1A-827C-E8B89F6CF9A0}"/>
    <cellStyle name="Comma 2 2 2 2 2 3" xfId="767" xr:uid="{00000000-0005-0000-0000-000081000000}"/>
    <cellStyle name="Comma 2 2 2 2 2 4" xfId="1012" xr:uid="{00000000-0005-0000-0000-000083000000}"/>
    <cellStyle name="Comma 2 2 2 2 2 5" xfId="1267" xr:uid="{00000000-0005-0000-0000-0000EB010000}"/>
    <cellStyle name="Comma 2 2 2 2 3" xfId="582" xr:uid="{B4BB38D8-D4A1-4E96-B728-88D70D43A722}"/>
    <cellStyle name="Comma 2 2 2 2 3 2" xfId="828" xr:uid="{B4BB38D8-D4A1-4E96-B728-88D70D43A722}"/>
    <cellStyle name="Comma 2 2 2 2 3 3" xfId="1079" xr:uid="{B4BB38D8-D4A1-4E96-B728-88D70D43A722}"/>
    <cellStyle name="Comma 2 2 2 2 4" xfId="707" xr:uid="{00000000-0005-0000-0000-000080000000}"/>
    <cellStyle name="Comma 2 2 2 2 5" xfId="952" xr:uid="{00000000-0005-0000-0000-000082000000}"/>
    <cellStyle name="Comma 2 2 2 2 6" xfId="1176" xr:uid="{00000000-0005-0000-0000-00007E000000}"/>
    <cellStyle name="Comma 2 2 2 3" xfId="479" xr:uid="{00000000-0005-0000-0000-000082000000}"/>
    <cellStyle name="Comma 2 2 2 3 2" xfId="612" xr:uid="{35F73855-283B-44FF-BE2F-FCB6F3199D17}"/>
    <cellStyle name="Comma 2 2 2 3 2 2" xfId="858" xr:uid="{35F73855-283B-44FF-BE2F-FCB6F3199D17}"/>
    <cellStyle name="Comma 2 2 2 3 2 3" xfId="1109" xr:uid="{35F73855-283B-44FF-BE2F-FCB6F3199D17}"/>
    <cellStyle name="Comma 2 2 2 3 3" xfId="737" xr:uid="{00000000-0005-0000-0000-000082000000}"/>
    <cellStyle name="Comma 2 2 2 3 4" xfId="982" xr:uid="{00000000-0005-0000-0000-000084000000}"/>
    <cellStyle name="Comma 2 2 2 3 5" xfId="1237" xr:uid="{00000000-0005-0000-0000-0000B1000000}"/>
    <cellStyle name="Comma 2 2 2 4" xfId="549" xr:uid="{700F1B92-F635-44D0-B6B0-D7C169965057}"/>
    <cellStyle name="Comma 2 2 2 4 2" xfId="798" xr:uid="{700F1B92-F635-44D0-B6B0-D7C169965057}"/>
    <cellStyle name="Comma 2 2 2 4 3" xfId="1049" xr:uid="{700F1B92-F635-44D0-B6B0-D7C169965057}"/>
    <cellStyle name="Comma 2 2 2 5" xfId="677" xr:uid="{00000000-0005-0000-0000-00007F000000}"/>
    <cellStyle name="Comma 2 2 2 6" xfId="920" xr:uid="{00000000-0005-0000-0000-000081000000}"/>
    <cellStyle name="Comma 2 2 2 7" xfId="1175" xr:uid="{00000000-0005-0000-0000-00007D000000}"/>
    <cellStyle name="Comma 2 2 3" xfId="133" xr:uid="{00000000-0005-0000-0000-000083000000}"/>
    <cellStyle name="Comma 2 2 3 2" xfId="448" xr:uid="{00000000-0005-0000-0000-000084000000}"/>
    <cellStyle name="Comma 2 2 3 2 2" xfId="513" xr:uid="{00000000-0005-0000-0000-000085000000}"/>
    <cellStyle name="Comma 2 2 3 2 2 2" xfId="643" xr:uid="{D369A227-CF5E-4B39-B6AA-52BF2923F7B4}"/>
    <cellStyle name="Comma 2 2 3 2 2 2 2" xfId="889" xr:uid="{D369A227-CF5E-4B39-B6AA-52BF2923F7B4}"/>
    <cellStyle name="Comma 2 2 3 2 2 2 3" xfId="1140" xr:uid="{D369A227-CF5E-4B39-B6AA-52BF2923F7B4}"/>
    <cellStyle name="Comma 2 2 3 2 2 3" xfId="768" xr:uid="{00000000-0005-0000-0000-000085000000}"/>
    <cellStyle name="Comma 2 2 3 2 2 4" xfId="1013" xr:uid="{00000000-0005-0000-0000-000087000000}"/>
    <cellStyle name="Comma 2 2 3 2 2 5" xfId="1268" xr:uid="{00000000-0005-0000-0000-0000EC010000}"/>
    <cellStyle name="Comma 2 2 3 2 3" xfId="583" xr:uid="{7A3B5F7D-1BE8-4DBE-A3BD-EEE1108EC065}"/>
    <cellStyle name="Comma 2 2 3 2 3 2" xfId="829" xr:uid="{7A3B5F7D-1BE8-4DBE-A3BD-EEE1108EC065}"/>
    <cellStyle name="Comma 2 2 3 2 3 3" xfId="1080" xr:uid="{7A3B5F7D-1BE8-4DBE-A3BD-EEE1108EC065}"/>
    <cellStyle name="Comma 2 2 3 2 4" xfId="708" xr:uid="{00000000-0005-0000-0000-000084000000}"/>
    <cellStyle name="Comma 2 2 3 2 5" xfId="953" xr:uid="{00000000-0005-0000-0000-000086000000}"/>
    <cellStyle name="Comma 2 2 3 2 6" xfId="1178" xr:uid="{00000000-0005-0000-0000-000080000000}"/>
    <cellStyle name="Comma 2 2 3 3" xfId="480" xr:uid="{00000000-0005-0000-0000-000086000000}"/>
    <cellStyle name="Comma 2 2 3 3 2" xfId="613" xr:uid="{B6900736-7211-43FB-9EDC-928D86FA0F4B}"/>
    <cellStyle name="Comma 2 2 3 3 2 2" xfId="859" xr:uid="{B6900736-7211-43FB-9EDC-928D86FA0F4B}"/>
    <cellStyle name="Comma 2 2 3 3 2 3" xfId="1110" xr:uid="{B6900736-7211-43FB-9EDC-928D86FA0F4B}"/>
    <cellStyle name="Comma 2 2 3 3 3" xfId="738" xr:uid="{00000000-0005-0000-0000-000086000000}"/>
    <cellStyle name="Comma 2 2 3 3 4" xfId="983" xr:uid="{00000000-0005-0000-0000-000088000000}"/>
    <cellStyle name="Comma 2 2 3 3 5" xfId="1238" xr:uid="{00000000-0005-0000-0000-0000B2000000}"/>
    <cellStyle name="Comma 2 2 3 4" xfId="550" xr:uid="{9F4E9C56-7FF1-4A39-A24B-89843685C6B4}"/>
    <cellStyle name="Comma 2 2 3 4 2" xfId="799" xr:uid="{9F4E9C56-7FF1-4A39-A24B-89843685C6B4}"/>
    <cellStyle name="Comma 2 2 3 4 3" xfId="1050" xr:uid="{9F4E9C56-7FF1-4A39-A24B-89843685C6B4}"/>
    <cellStyle name="Comma 2 2 3 5" xfId="678" xr:uid="{00000000-0005-0000-0000-000083000000}"/>
    <cellStyle name="Comma 2 2 3 6" xfId="921" xr:uid="{00000000-0005-0000-0000-000085000000}"/>
    <cellStyle name="Comma 2 2 3 7" xfId="1177" xr:uid="{00000000-0005-0000-0000-00007F000000}"/>
    <cellStyle name="Comma 2 2 4" xfId="134" xr:uid="{00000000-0005-0000-0000-000087000000}"/>
    <cellStyle name="Comma 2 2 4 2" xfId="449" xr:uid="{00000000-0005-0000-0000-000088000000}"/>
    <cellStyle name="Comma 2 2 4 2 2" xfId="514" xr:uid="{00000000-0005-0000-0000-000089000000}"/>
    <cellStyle name="Comma 2 2 4 2 2 2" xfId="644" xr:uid="{04956B71-8490-4B02-8CFA-8EF3CB220D66}"/>
    <cellStyle name="Comma 2 2 4 2 2 2 2" xfId="890" xr:uid="{04956B71-8490-4B02-8CFA-8EF3CB220D66}"/>
    <cellStyle name="Comma 2 2 4 2 2 2 3" xfId="1141" xr:uid="{04956B71-8490-4B02-8CFA-8EF3CB220D66}"/>
    <cellStyle name="Comma 2 2 4 2 2 3" xfId="769" xr:uid="{00000000-0005-0000-0000-000089000000}"/>
    <cellStyle name="Comma 2 2 4 2 2 4" xfId="1014" xr:uid="{00000000-0005-0000-0000-00008B000000}"/>
    <cellStyle name="Comma 2 2 4 2 2 5" xfId="1269" xr:uid="{00000000-0005-0000-0000-0000ED010000}"/>
    <cellStyle name="Comma 2 2 4 2 3" xfId="584" xr:uid="{CD91328C-A3CD-42C2-96AE-D5851F659670}"/>
    <cellStyle name="Comma 2 2 4 2 3 2" xfId="830" xr:uid="{CD91328C-A3CD-42C2-96AE-D5851F659670}"/>
    <cellStyle name="Comma 2 2 4 2 3 3" xfId="1081" xr:uid="{CD91328C-A3CD-42C2-96AE-D5851F659670}"/>
    <cellStyle name="Comma 2 2 4 2 4" xfId="709" xr:uid="{00000000-0005-0000-0000-000088000000}"/>
    <cellStyle name="Comma 2 2 4 2 5" xfId="954" xr:uid="{00000000-0005-0000-0000-00008A000000}"/>
    <cellStyle name="Comma 2 2 4 2 6" xfId="1180" xr:uid="{00000000-0005-0000-0000-000082000000}"/>
    <cellStyle name="Comma 2 2 4 3" xfId="481" xr:uid="{00000000-0005-0000-0000-00008A000000}"/>
    <cellStyle name="Comma 2 2 4 3 2" xfId="614" xr:uid="{86B66B8A-85E4-493D-BD99-9BFB3856EDB5}"/>
    <cellStyle name="Comma 2 2 4 3 2 2" xfId="860" xr:uid="{86B66B8A-85E4-493D-BD99-9BFB3856EDB5}"/>
    <cellStyle name="Comma 2 2 4 3 2 3" xfId="1111" xr:uid="{86B66B8A-85E4-493D-BD99-9BFB3856EDB5}"/>
    <cellStyle name="Comma 2 2 4 3 3" xfId="739" xr:uid="{00000000-0005-0000-0000-00008A000000}"/>
    <cellStyle name="Comma 2 2 4 3 4" xfId="984" xr:uid="{00000000-0005-0000-0000-00008C000000}"/>
    <cellStyle name="Comma 2 2 4 3 5" xfId="1239" xr:uid="{00000000-0005-0000-0000-0000B3000000}"/>
    <cellStyle name="Comma 2 2 4 4" xfId="551" xr:uid="{895DA0C2-2296-4F87-A26B-0AFCE7B121C4}"/>
    <cellStyle name="Comma 2 2 4 4 2" xfId="800" xr:uid="{895DA0C2-2296-4F87-A26B-0AFCE7B121C4}"/>
    <cellStyle name="Comma 2 2 4 4 3" xfId="1051" xr:uid="{895DA0C2-2296-4F87-A26B-0AFCE7B121C4}"/>
    <cellStyle name="Comma 2 2 4 5" xfId="679" xr:uid="{00000000-0005-0000-0000-000087000000}"/>
    <cellStyle name="Comma 2 2 4 6" xfId="922" xr:uid="{00000000-0005-0000-0000-000089000000}"/>
    <cellStyle name="Comma 2 2 4 7" xfId="1179" xr:uid="{00000000-0005-0000-0000-000081000000}"/>
    <cellStyle name="Comma 2 2 5" xfId="446" xr:uid="{00000000-0005-0000-0000-00008B000000}"/>
    <cellStyle name="Comma 2 2 5 2" xfId="511" xr:uid="{00000000-0005-0000-0000-00008C000000}"/>
    <cellStyle name="Comma 2 2 5 2 2" xfId="641" xr:uid="{1B034698-1DF7-46D5-AF60-7E3B6B6E9E4B}"/>
    <cellStyle name="Comma 2 2 5 2 2 2" xfId="887" xr:uid="{1B034698-1DF7-46D5-AF60-7E3B6B6E9E4B}"/>
    <cellStyle name="Comma 2 2 5 2 2 3" xfId="1138" xr:uid="{1B034698-1DF7-46D5-AF60-7E3B6B6E9E4B}"/>
    <cellStyle name="Comma 2 2 5 2 3" xfId="766" xr:uid="{00000000-0005-0000-0000-00008C000000}"/>
    <cellStyle name="Comma 2 2 5 2 4" xfId="1011" xr:uid="{00000000-0005-0000-0000-00008E000000}"/>
    <cellStyle name="Comma 2 2 5 2 5" xfId="1266" xr:uid="{00000000-0005-0000-0000-0000EA010000}"/>
    <cellStyle name="Comma 2 2 5 3" xfId="581" xr:uid="{6C5BA968-D35F-471A-BF06-7A285511BBA5}"/>
    <cellStyle name="Comma 2 2 5 3 2" xfId="827" xr:uid="{6C5BA968-D35F-471A-BF06-7A285511BBA5}"/>
    <cellStyle name="Comma 2 2 5 3 3" xfId="1078" xr:uid="{6C5BA968-D35F-471A-BF06-7A285511BBA5}"/>
    <cellStyle name="Comma 2 2 5 4" xfId="706" xr:uid="{00000000-0005-0000-0000-00008B000000}"/>
    <cellStyle name="Comma 2 2 5 5" xfId="951" xr:uid="{00000000-0005-0000-0000-00008D000000}"/>
    <cellStyle name="Comma 2 2 5 6" xfId="1181" xr:uid="{00000000-0005-0000-0000-000083000000}"/>
    <cellStyle name="Comma 2 2 6" xfId="478" xr:uid="{00000000-0005-0000-0000-00008D000000}"/>
    <cellStyle name="Comma 2 2 6 2" xfId="611" xr:uid="{D99EE5D9-D5ED-4B1A-A110-ACF13D5EDBA0}"/>
    <cellStyle name="Comma 2 2 6 2 2" xfId="857" xr:uid="{D99EE5D9-D5ED-4B1A-A110-ACF13D5EDBA0}"/>
    <cellStyle name="Comma 2 2 6 2 3" xfId="1108" xr:uid="{D99EE5D9-D5ED-4B1A-A110-ACF13D5EDBA0}"/>
    <cellStyle name="Comma 2 2 6 3" xfId="736" xr:uid="{00000000-0005-0000-0000-00008D000000}"/>
    <cellStyle name="Comma 2 2 6 4" xfId="981" xr:uid="{00000000-0005-0000-0000-00008F000000}"/>
    <cellStyle name="Comma 2 2 6 5" xfId="1236" xr:uid="{00000000-0005-0000-0000-0000B0000000}"/>
    <cellStyle name="Comma 2 2 7" xfId="548" xr:uid="{E0C4D64C-F410-487E-91FC-1DA97E693BB6}"/>
    <cellStyle name="Comma 2 2 7 2" xfId="797" xr:uid="{E0C4D64C-F410-487E-91FC-1DA97E693BB6}"/>
    <cellStyle name="Comma 2 2 7 3" xfId="1048" xr:uid="{E0C4D64C-F410-487E-91FC-1DA97E693BB6}"/>
    <cellStyle name="Comma 2 2 8" xfId="676" xr:uid="{00000000-0005-0000-0000-00007E000000}"/>
    <cellStyle name="Comma 2 2 9" xfId="919" xr:uid="{00000000-0005-0000-0000-000080000000}"/>
    <cellStyle name="Comma 2 3" xfId="135" xr:uid="{00000000-0005-0000-0000-00008E000000}"/>
    <cellStyle name="Comma 2 3 2" xfId="136" xr:uid="{00000000-0005-0000-0000-00008F000000}"/>
    <cellStyle name="Comma 2 3 2 2" xfId="451" xr:uid="{00000000-0005-0000-0000-000090000000}"/>
    <cellStyle name="Comma 2 3 2 2 2" xfId="516" xr:uid="{00000000-0005-0000-0000-000091000000}"/>
    <cellStyle name="Comma 2 3 2 2 2 2" xfId="646" xr:uid="{A0B4B20A-1A29-423B-824B-EAC07A4DE1BF}"/>
    <cellStyle name="Comma 2 3 2 2 2 2 2" xfId="892" xr:uid="{A0B4B20A-1A29-423B-824B-EAC07A4DE1BF}"/>
    <cellStyle name="Comma 2 3 2 2 2 2 3" xfId="1143" xr:uid="{A0B4B20A-1A29-423B-824B-EAC07A4DE1BF}"/>
    <cellStyle name="Comma 2 3 2 2 2 3" xfId="771" xr:uid="{00000000-0005-0000-0000-000091000000}"/>
    <cellStyle name="Comma 2 3 2 2 2 4" xfId="1016" xr:uid="{00000000-0005-0000-0000-000093000000}"/>
    <cellStyle name="Comma 2 3 2 2 2 5" xfId="1271" xr:uid="{00000000-0005-0000-0000-0000EF010000}"/>
    <cellStyle name="Comma 2 3 2 2 3" xfId="586" xr:uid="{0DAE2DDE-80CA-402C-A6B2-703C13E1B5B6}"/>
    <cellStyle name="Comma 2 3 2 2 3 2" xfId="832" xr:uid="{0DAE2DDE-80CA-402C-A6B2-703C13E1B5B6}"/>
    <cellStyle name="Comma 2 3 2 2 3 3" xfId="1083" xr:uid="{0DAE2DDE-80CA-402C-A6B2-703C13E1B5B6}"/>
    <cellStyle name="Comma 2 3 2 2 4" xfId="711" xr:uid="{00000000-0005-0000-0000-000090000000}"/>
    <cellStyle name="Comma 2 3 2 2 5" xfId="956" xr:uid="{00000000-0005-0000-0000-000092000000}"/>
    <cellStyle name="Comma 2 3 2 2 6" xfId="1184" xr:uid="{00000000-0005-0000-0000-000086000000}"/>
    <cellStyle name="Comma 2 3 2 3" xfId="483" xr:uid="{00000000-0005-0000-0000-000092000000}"/>
    <cellStyle name="Comma 2 3 2 3 2" xfId="616" xr:uid="{3F144501-7B1D-4F6F-B9A8-4AB8BE8561EE}"/>
    <cellStyle name="Comma 2 3 2 3 2 2" xfId="862" xr:uid="{3F144501-7B1D-4F6F-B9A8-4AB8BE8561EE}"/>
    <cellStyle name="Comma 2 3 2 3 2 3" xfId="1113" xr:uid="{3F144501-7B1D-4F6F-B9A8-4AB8BE8561EE}"/>
    <cellStyle name="Comma 2 3 2 3 3" xfId="741" xr:uid="{00000000-0005-0000-0000-000092000000}"/>
    <cellStyle name="Comma 2 3 2 3 4" xfId="986" xr:uid="{00000000-0005-0000-0000-000094000000}"/>
    <cellStyle name="Comma 2 3 2 3 5" xfId="1241" xr:uid="{00000000-0005-0000-0000-0000B5000000}"/>
    <cellStyle name="Comma 2 3 2 4" xfId="553" xr:uid="{67AE0F17-71A7-427D-80AD-0E17766DDC70}"/>
    <cellStyle name="Comma 2 3 2 4 2" xfId="802" xr:uid="{67AE0F17-71A7-427D-80AD-0E17766DDC70}"/>
    <cellStyle name="Comma 2 3 2 4 3" xfId="1053" xr:uid="{67AE0F17-71A7-427D-80AD-0E17766DDC70}"/>
    <cellStyle name="Comma 2 3 2 5" xfId="681" xr:uid="{00000000-0005-0000-0000-00008F000000}"/>
    <cellStyle name="Comma 2 3 2 6" xfId="924" xr:uid="{00000000-0005-0000-0000-000091000000}"/>
    <cellStyle name="Comma 2 3 2 7" xfId="1183" xr:uid="{00000000-0005-0000-0000-000085000000}"/>
    <cellStyle name="Comma 2 3 3" xfId="450" xr:uid="{00000000-0005-0000-0000-000093000000}"/>
    <cellStyle name="Comma 2 3 3 2" xfId="515" xr:uid="{00000000-0005-0000-0000-000094000000}"/>
    <cellStyle name="Comma 2 3 3 2 2" xfId="645" xr:uid="{E7676A26-FF0A-406E-B497-DF6995D2AF1C}"/>
    <cellStyle name="Comma 2 3 3 2 2 2" xfId="891" xr:uid="{E7676A26-FF0A-406E-B497-DF6995D2AF1C}"/>
    <cellStyle name="Comma 2 3 3 2 2 3" xfId="1142" xr:uid="{E7676A26-FF0A-406E-B497-DF6995D2AF1C}"/>
    <cellStyle name="Comma 2 3 3 2 3" xfId="770" xr:uid="{00000000-0005-0000-0000-000094000000}"/>
    <cellStyle name="Comma 2 3 3 2 4" xfId="1015" xr:uid="{00000000-0005-0000-0000-000096000000}"/>
    <cellStyle name="Comma 2 3 3 2 5" xfId="1270" xr:uid="{00000000-0005-0000-0000-0000EE010000}"/>
    <cellStyle name="Comma 2 3 3 3" xfId="585" xr:uid="{4978FE07-57B0-473A-8EA4-43C0CA662874}"/>
    <cellStyle name="Comma 2 3 3 3 2" xfId="831" xr:uid="{4978FE07-57B0-473A-8EA4-43C0CA662874}"/>
    <cellStyle name="Comma 2 3 3 3 3" xfId="1082" xr:uid="{4978FE07-57B0-473A-8EA4-43C0CA662874}"/>
    <cellStyle name="Comma 2 3 3 4" xfId="710" xr:uid="{00000000-0005-0000-0000-000093000000}"/>
    <cellStyle name="Comma 2 3 3 5" xfId="955" xr:uid="{00000000-0005-0000-0000-000095000000}"/>
    <cellStyle name="Comma 2 3 3 6" xfId="1185" xr:uid="{00000000-0005-0000-0000-000087000000}"/>
    <cellStyle name="Comma 2 3 4" xfId="482" xr:uid="{00000000-0005-0000-0000-000095000000}"/>
    <cellStyle name="Comma 2 3 4 2" xfId="615" xr:uid="{45004A68-1491-4AD5-BACE-6D30C5F00D88}"/>
    <cellStyle name="Comma 2 3 4 2 2" xfId="861" xr:uid="{45004A68-1491-4AD5-BACE-6D30C5F00D88}"/>
    <cellStyle name="Comma 2 3 4 2 3" xfId="1112" xr:uid="{45004A68-1491-4AD5-BACE-6D30C5F00D88}"/>
    <cellStyle name="Comma 2 3 4 3" xfId="740" xr:uid="{00000000-0005-0000-0000-000095000000}"/>
    <cellStyle name="Comma 2 3 4 4" xfId="985" xr:uid="{00000000-0005-0000-0000-000097000000}"/>
    <cellStyle name="Comma 2 3 4 5" xfId="1240" xr:uid="{00000000-0005-0000-0000-0000B4000000}"/>
    <cellStyle name="Comma 2 3 5" xfId="552" xr:uid="{22335C40-DD22-4FE6-8986-B8CED483A340}"/>
    <cellStyle name="Comma 2 3 5 2" xfId="801" xr:uid="{22335C40-DD22-4FE6-8986-B8CED483A340}"/>
    <cellStyle name="Comma 2 3 5 3" xfId="1052" xr:uid="{22335C40-DD22-4FE6-8986-B8CED483A340}"/>
    <cellStyle name="Comma 2 3 6" xfId="680" xr:uid="{00000000-0005-0000-0000-00008E000000}"/>
    <cellStyle name="Comma 2 3 7" xfId="923" xr:uid="{00000000-0005-0000-0000-000090000000}"/>
    <cellStyle name="Comma 2 3 8" xfId="1182" xr:uid="{00000000-0005-0000-0000-000084000000}"/>
    <cellStyle name="Comma 2 4" xfId="137" xr:uid="{00000000-0005-0000-0000-000096000000}"/>
    <cellStyle name="Comma 2 4 2" xfId="138" xr:uid="{00000000-0005-0000-0000-000097000000}"/>
    <cellStyle name="Comma 2 4 2 2" xfId="453" xr:uid="{00000000-0005-0000-0000-000098000000}"/>
    <cellStyle name="Comma 2 4 2 2 2" xfId="518" xr:uid="{00000000-0005-0000-0000-000099000000}"/>
    <cellStyle name="Comma 2 4 2 2 2 2" xfId="648" xr:uid="{AAE10882-82EB-4D20-9878-8338FCC0708C}"/>
    <cellStyle name="Comma 2 4 2 2 2 2 2" xfId="894" xr:uid="{AAE10882-82EB-4D20-9878-8338FCC0708C}"/>
    <cellStyle name="Comma 2 4 2 2 2 2 3" xfId="1145" xr:uid="{AAE10882-82EB-4D20-9878-8338FCC0708C}"/>
    <cellStyle name="Comma 2 4 2 2 2 3" xfId="773" xr:uid="{00000000-0005-0000-0000-000099000000}"/>
    <cellStyle name="Comma 2 4 2 2 2 4" xfId="1018" xr:uid="{00000000-0005-0000-0000-00009B000000}"/>
    <cellStyle name="Comma 2 4 2 2 2 5" xfId="1273" xr:uid="{00000000-0005-0000-0000-0000F1010000}"/>
    <cellStyle name="Comma 2 4 2 2 3" xfId="588" xr:uid="{E558DDA9-3701-4EFB-AD57-6FDB899C8821}"/>
    <cellStyle name="Comma 2 4 2 2 3 2" xfId="834" xr:uid="{E558DDA9-3701-4EFB-AD57-6FDB899C8821}"/>
    <cellStyle name="Comma 2 4 2 2 3 3" xfId="1085" xr:uid="{E558DDA9-3701-4EFB-AD57-6FDB899C8821}"/>
    <cellStyle name="Comma 2 4 2 2 4" xfId="713" xr:uid="{00000000-0005-0000-0000-000098000000}"/>
    <cellStyle name="Comma 2 4 2 2 5" xfId="958" xr:uid="{00000000-0005-0000-0000-00009A000000}"/>
    <cellStyle name="Comma 2 4 2 2 6" xfId="1188" xr:uid="{00000000-0005-0000-0000-00008A000000}"/>
    <cellStyle name="Comma 2 4 2 3" xfId="485" xr:uid="{00000000-0005-0000-0000-00009A000000}"/>
    <cellStyle name="Comma 2 4 2 3 2" xfId="618" xr:uid="{C3269A05-92D2-410D-9BC1-200FD442D26C}"/>
    <cellStyle name="Comma 2 4 2 3 2 2" xfId="864" xr:uid="{C3269A05-92D2-410D-9BC1-200FD442D26C}"/>
    <cellStyle name="Comma 2 4 2 3 2 3" xfId="1115" xr:uid="{C3269A05-92D2-410D-9BC1-200FD442D26C}"/>
    <cellStyle name="Comma 2 4 2 3 3" xfId="743" xr:uid="{00000000-0005-0000-0000-00009A000000}"/>
    <cellStyle name="Comma 2 4 2 3 4" xfId="988" xr:uid="{00000000-0005-0000-0000-00009C000000}"/>
    <cellStyle name="Comma 2 4 2 3 5" xfId="1243" xr:uid="{00000000-0005-0000-0000-0000B7000000}"/>
    <cellStyle name="Comma 2 4 2 4" xfId="555" xr:uid="{8439224A-8FC1-4412-8DB0-3BFDEDE314D3}"/>
    <cellStyle name="Comma 2 4 2 4 2" xfId="804" xr:uid="{8439224A-8FC1-4412-8DB0-3BFDEDE314D3}"/>
    <cellStyle name="Comma 2 4 2 4 3" xfId="1055" xr:uid="{8439224A-8FC1-4412-8DB0-3BFDEDE314D3}"/>
    <cellStyle name="Comma 2 4 2 5" xfId="683" xr:uid="{00000000-0005-0000-0000-000097000000}"/>
    <cellStyle name="Comma 2 4 2 6" xfId="926" xr:uid="{00000000-0005-0000-0000-000099000000}"/>
    <cellStyle name="Comma 2 4 2 7" xfId="1187" xr:uid="{00000000-0005-0000-0000-000089000000}"/>
    <cellStyle name="Comma 2 4 3" xfId="139" xr:uid="{00000000-0005-0000-0000-00009B000000}"/>
    <cellStyle name="Comma 2 4 3 2" xfId="454" xr:uid="{00000000-0005-0000-0000-00009C000000}"/>
    <cellStyle name="Comma 2 4 3 2 2" xfId="519" xr:uid="{00000000-0005-0000-0000-00009D000000}"/>
    <cellStyle name="Comma 2 4 3 2 2 2" xfId="649" xr:uid="{DAFA8C9E-C9C0-450A-9B48-66DE0D62B707}"/>
    <cellStyle name="Comma 2 4 3 2 2 2 2" xfId="895" xr:uid="{DAFA8C9E-C9C0-450A-9B48-66DE0D62B707}"/>
    <cellStyle name="Comma 2 4 3 2 2 2 3" xfId="1146" xr:uid="{DAFA8C9E-C9C0-450A-9B48-66DE0D62B707}"/>
    <cellStyle name="Comma 2 4 3 2 2 3" xfId="774" xr:uid="{00000000-0005-0000-0000-00009D000000}"/>
    <cellStyle name="Comma 2 4 3 2 2 4" xfId="1019" xr:uid="{00000000-0005-0000-0000-00009F000000}"/>
    <cellStyle name="Comma 2 4 3 2 2 5" xfId="1274" xr:uid="{00000000-0005-0000-0000-0000F2010000}"/>
    <cellStyle name="Comma 2 4 3 2 3" xfId="589" xr:uid="{932B67DE-8A2E-4DC2-A982-D9E57B1B4599}"/>
    <cellStyle name="Comma 2 4 3 2 3 2" xfId="835" xr:uid="{932B67DE-8A2E-4DC2-A982-D9E57B1B4599}"/>
    <cellStyle name="Comma 2 4 3 2 3 3" xfId="1086" xr:uid="{932B67DE-8A2E-4DC2-A982-D9E57B1B4599}"/>
    <cellStyle name="Comma 2 4 3 2 4" xfId="714" xr:uid="{00000000-0005-0000-0000-00009C000000}"/>
    <cellStyle name="Comma 2 4 3 2 5" xfId="959" xr:uid="{00000000-0005-0000-0000-00009E000000}"/>
    <cellStyle name="Comma 2 4 3 2 6" xfId="1190" xr:uid="{00000000-0005-0000-0000-00008C000000}"/>
    <cellStyle name="Comma 2 4 3 3" xfId="486" xr:uid="{00000000-0005-0000-0000-00009E000000}"/>
    <cellStyle name="Comma 2 4 3 3 2" xfId="619" xr:uid="{5983918B-A4D3-48D0-A64A-9FC293D029A6}"/>
    <cellStyle name="Comma 2 4 3 3 2 2" xfId="865" xr:uid="{5983918B-A4D3-48D0-A64A-9FC293D029A6}"/>
    <cellStyle name="Comma 2 4 3 3 2 3" xfId="1116" xr:uid="{5983918B-A4D3-48D0-A64A-9FC293D029A6}"/>
    <cellStyle name="Comma 2 4 3 3 3" xfId="744" xr:uid="{00000000-0005-0000-0000-00009E000000}"/>
    <cellStyle name="Comma 2 4 3 3 4" xfId="989" xr:uid="{00000000-0005-0000-0000-0000A0000000}"/>
    <cellStyle name="Comma 2 4 3 3 5" xfId="1244" xr:uid="{00000000-0005-0000-0000-0000B8000000}"/>
    <cellStyle name="Comma 2 4 3 4" xfId="556" xr:uid="{BE065FA6-E38B-429D-AB2C-926A05DF534B}"/>
    <cellStyle name="Comma 2 4 3 4 2" xfId="805" xr:uid="{BE065FA6-E38B-429D-AB2C-926A05DF534B}"/>
    <cellStyle name="Comma 2 4 3 4 3" xfId="1056" xr:uid="{BE065FA6-E38B-429D-AB2C-926A05DF534B}"/>
    <cellStyle name="Comma 2 4 3 5" xfId="684" xr:uid="{00000000-0005-0000-0000-00009B000000}"/>
    <cellStyle name="Comma 2 4 3 6" xfId="927" xr:uid="{00000000-0005-0000-0000-00009D000000}"/>
    <cellStyle name="Comma 2 4 3 7" xfId="1189" xr:uid="{00000000-0005-0000-0000-00008B000000}"/>
    <cellStyle name="Comma 2 4 4" xfId="452" xr:uid="{00000000-0005-0000-0000-00009F000000}"/>
    <cellStyle name="Comma 2 4 4 2" xfId="517" xr:uid="{00000000-0005-0000-0000-0000A0000000}"/>
    <cellStyle name="Comma 2 4 4 2 2" xfId="647" xr:uid="{DF27CB3B-26C7-41E4-B974-1CDD522173D2}"/>
    <cellStyle name="Comma 2 4 4 2 2 2" xfId="893" xr:uid="{DF27CB3B-26C7-41E4-B974-1CDD522173D2}"/>
    <cellStyle name="Comma 2 4 4 2 2 3" xfId="1144" xr:uid="{DF27CB3B-26C7-41E4-B974-1CDD522173D2}"/>
    <cellStyle name="Comma 2 4 4 2 3" xfId="772" xr:uid="{00000000-0005-0000-0000-0000A0000000}"/>
    <cellStyle name="Comma 2 4 4 2 4" xfId="1017" xr:uid="{00000000-0005-0000-0000-0000A2000000}"/>
    <cellStyle name="Comma 2 4 4 2 5" xfId="1272" xr:uid="{00000000-0005-0000-0000-0000F0010000}"/>
    <cellStyle name="Comma 2 4 4 3" xfId="587" xr:uid="{750390B8-40D1-48C0-BBEC-D3C7A6819033}"/>
    <cellStyle name="Comma 2 4 4 3 2" xfId="833" xr:uid="{750390B8-40D1-48C0-BBEC-D3C7A6819033}"/>
    <cellStyle name="Comma 2 4 4 3 3" xfId="1084" xr:uid="{750390B8-40D1-48C0-BBEC-D3C7A6819033}"/>
    <cellStyle name="Comma 2 4 4 4" xfId="712" xr:uid="{00000000-0005-0000-0000-00009F000000}"/>
    <cellStyle name="Comma 2 4 4 5" xfId="957" xr:uid="{00000000-0005-0000-0000-0000A1000000}"/>
    <cellStyle name="Comma 2 4 4 6" xfId="1191" xr:uid="{00000000-0005-0000-0000-00008D000000}"/>
    <cellStyle name="Comma 2 4 5" xfId="484" xr:uid="{00000000-0005-0000-0000-0000A1000000}"/>
    <cellStyle name="Comma 2 4 5 2" xfId="617" xr:uid="{1BCFAE5A-F02C-438B-A319-79F6137570D9}"/>
    <cellStyle name="Comma 2 4 5 2 2" xfId="863" xr:uid="{1BCFAE5A-F02C-438B-A319-79F6137570D9}"/>
    <cellStyle name="Comma 2 4 5 2 3" xfId="1114" xr:uid="{1BCFAE5A-F02C-438B-A319-79F6137570D9}"/>
    <cellStyle name="Comma 2 4 5 3" xfId="742" xr:uid="{00000000-0005-0000-0000-0000A1000000}"/>
    <cellStyle name="Comma 2 4 5 4" xfId="987" xr:uid="{00000000-0005-0000-0000-0000A3000000}"/>
    <cellStyle name="Comma 2 4 5 5" xfId="1242" xr:uid="{00000000-0005-0000-0000-0000B6000000}"/>
    <cellStyle name="Comma 2 4 6" xfId="554" xr:uid="{E1CCC0E1-AB59-4C38-8D08-FC873D5BD827}"/>
    <cellStyle name="Comma 2 4 6 2" xfId="803" xr:uid="{E1CCC0E1-AB59-4C38-8D08-FC873D5BD827}"/>
    <cellStyle name="Comma 2 4 6 3" xfId="1054" xr:uid="{E1CCC0E1-AB59-4C38-8D08-FC873D5BD827}"/>
    <cellStyle name="Comma 2 4 7" xfId="682" xr:uid="{00000000-0005-0000-0000-000096000000}"/>
    <cellStyle name="Comma 2 4 8" xfId="925" xr:uid="{00000000-0005-0000-0000-000098000000}"/>
    <cellStyle name="Comma 2 4 9" xfId="1186" xr:uid="{00000000-0005-0000-0000-000088000000}"/>
    <cellStyle name="Comma 2 5" xfId="140" xr:uid="{00000000-0005-0000-0000-0000A2000000}"/>
    <cellStyle name="Comma 2 5 2" xfId="455" xr:uid="{00000000-0005-0000-0000-0000A3000000}"/>
    <cellStyle name="Comma 2 5 2 2" xfId="520" xr:uid="{00000000-0005-0000-0000-0000A4000000}"/>
    <cellStyle name="Comma 2 5 2 2 2" xfId="650" xr:uid="{8AB9B2E7-8642-44E9-954F-42019154D35D}"/>
    <cellStyle name="Comma 2 5 2 2 2 2" xfId="896" xr:uid="{8AB9B2E7-8642-44E9-954F-42019154D35D}"/>
    <cellStyle name="Comma 2 5 2 2 2 3" xfId="1147" xr:uid="{8AB9B2E7-8642-44E9-954F-42019154D35D}"/>
    <cellStyle name="Comma 2 5 2 2 3" xfId="775" xr:uid="{00000000-0005-0000-0000-0000A4000000}"/>
    <cellStyle name="Comma 2 5 2 2 4" xfId="1020" xr:uid="{00000000-0005-0000-0000-0000A6000000}"/>
    <cellStyle name="Comma 2 5 2 2 5" xfId="1275" xr:uid="{00000000-0005-0000-0000-0000F3010000}"/>
    <cellStyle name="Comma 2 5 2 3" xfId="590" xr:uid="{C7838E1C-D410-4A0A-887F-6C73C5866D37}"/>
    <cellStyle name="Comma 2 5 2 3 2" xfId="836" xr:uid="{C7838E1C-D410-4A0A-887F-6C73C5866D37}"/>
    <cellStyle name="Comma 2 5 2 3 3" xfId="1087" xr:uid="{C7838E1C-D410-4A0A-887F-6C73C5866D37}"/>
    <cellStyle name="Comma 2 5 2 4" xfId="715" xr:uid="{00000000-0005-0000-0000-0000A3000000}"/>
    <cellStyle name="Comma 2 5 2 5" xfId="960" xr:uid="{00000000-0005-0000-0000-0000A5000000}"/>
    <cellStyle name="Comma 2 5 2 6" xfId="1193" xr:uid="{00000000-0005-0000-0000-00008F000000}"/>
    <cellStyle name="Comma 2 5 3" xfId="487" xr:uid="{00000000-0005-0000-0000-0000A5000000}"/>
    <cellStyle name="Comma 2 5 3 2" xfId="620" xr:uid="{642AD1A0-7177-4785-BA4C-B695C1000D01}"/>
    <cellStyle name="Comma 2 5 3 2 2" xfId="866" xr:uid="{642AD1A0-7177-4785-BA4C-B695C1000D01}"/>
    <cellStyle name="Comma 2 5 3 2 3" xfId="1117" xr:uid="{642AD1A0-7177-4785-BA4C-B695C1000D01}"/>
    <cellStyle name="Comma 2 5 3 3" xfId="745" xr:uid="{00000000-0005-0000-0000-0000A5000000}"/>
    <cellStyle name="Comma 2 5 3 4" xfId="990" xr:uid="{00000000-0005-0000-0000-0000A7000000}"/>
    <cellStyle name="Comma 2 5 3 5" xfId="1245" xr:uid="{00000000-0005-0000-0000-0000B9000000}"/>
    <cellStyle name="Comma 2 5 4" xfId="557" xr:uid="{9C909FC7-D92E-4ABB-ABF4-44C4A2E6F783}"/>
    <cellStyle name="Comma 2 5 4 2" xfId="806" xr:uid="{9C909FC7-D92E-4ABB-ABF4-44C4A2E6F783}"/>
    <cellStyle name="Comma 2 5 4 3" xfId="1057" xr:uid="{9C909FC7-D92E-4ABB-ABF4-44C4A2E6F783}"/>
    <cellStyle name="Comma 2 5 5" xfId="685" xr:uid="{00000000-0005-0000-0000-0000A2000000}"/>
    <cellStyle name="Comma 2 5 6" xfId="928" xr:uid="{00000000-0005-0000-0000-0000A4000000}"/>
    <cellStyle name="Comma 2 5 7" xfId="1192" xr:uid="{00000000-0005-0000-0000-00008E000000}"/>
    <cellStyle name="Comma 2 6" xfId="141" xr:uid="{00000000-0005-0000-0000-0000A6000000}"/>
    <cellStyle name="Comma 2 7" xfId="142" xr:uid="{00000000-0005-0000-0000-0000A7000000}"/>
    <cellStyle name="Comma 2 8" xfId="130" xr:uid="{00000000-0005-0000-0000-0000A8000000}"/>
    <cellStyle name="Comma 2 9" xfId="1194" xr:uid="{00000000-0005-0000-0000-000093000000}"/>
    <cellStyle name="Comma 20" xfId="580" xr:uid="{B8F695CE-54F0-4D5A-8784-82265E5DC8CC}"/>
    <cellStyle name="Comma 21" xfId="673" xr:uid="{71F9913A-B3D4-4FA9-857E-7357ABF15D44}"/>
    <cellStyle name="Comma 22" xfId="578" xr:uid="{E2830F6D-ECE5-4847-8AFF-E021DA561FAE}"/>
    <cellStyle name="Comma 23" xfId="547" xr:uid="{5DC6821E-A895-488A-A9E6-536A398D64AE}"/>
    <cellStyle name="Comma 24" xfId="675" xr:uid="{00000000-0005-0000-0000-0000CF020000}"/>
    <cellStyle name="Comma 25" xfId="918" xr:uid="{00000000-0005-0000-0000-0000C3030000}"/>
    <cellStyle name="Comma 26" xfId="950" xr:uid="{00000000-0005-0000-0000-000041040000}"/>
    <cellStyle name="Comma 27" xfId="1046" xr:uid="{00000000-0005-0000-0000-000042040000}"/>
    <cellStyle name="Comma 28" xfId="947" xr:uid="{00000000-0005-0000-0000-000043040000}"/>
    <cellStyle name="Comma 29" xfId="1047" xr:uid="{00000000-0005-0000-0000-000044040000}"/>
    <cellStyle name="Comma 3" xfId="143" xr:uid="{00000000-0005-0000-0000-0000A9000000}"/>
    <cellStyle name="Comma 3 2" xfId="144" xr:uid="{00000000-0005-0000-0000-0000AA000000}"/>
    <cellStyle name="Comma 3 2 2" xfId="457" xr:uid="{00000000-0005-0000-0000-0000AB000000}"/>
    <cellStyle name="Comma 3 2 2 2" xfId="522" xr:uid="{00000000-0005-0000-0000-0000AC000000}"/>
    <cellStyle name="Comma 3 2 2 2 2" xfId="652" xr:uid="{2213C432-91FD-4B49-BEC0-B36CED708A28}"/>
    <cellStyle name="Comma 3 2 2 2 2 2" xfId="898" xr:uid="{2213C432-91FD-4B49-BEC0-B36CED708A28}"/>
    <cellStyle name="Comma 3 2 2 2 2 3" xfId="1149" xr:uid="{2213C432-91FD-4B49-BEC0-B36CED708A28}"/>
    <cellStyle name="Comma 3 2 2 2 3" xfId="777" xr:uid="{00000000-0005-0000-0000-0000AC000000}"/>
    <cellStyle name="Comma 3 2 2 2 4" xfId="1022" xr:uid="{00000000-0005-0000-0000-0000AE000000}"/>
    <cellStyle name="Comma 3 2 2 2 5" xfId="1277" xr:uid="{00000000-0005-0000-0000-0000F5010000}"/>
    <cellStyle name="Comma 3 2 2 3" xfId="592" xr:uid="{B13045F6-3553-4934-9785-4980736C0291}"/>
    <cellStyle name="Comma 3 2 2 3 2" xfId="838" xr:uid="{B13045F6-3553-4934-9785-4980736C0291}"/>
    <cellStyle name="Comma 3 2 2 3 3" xfId="1089" xr:uid="{B13045F6-3553-4934-9785-4980736C0291}"/>
    <cellStyle name="Comma 3 2 2 4" xfId="717" xr:uid="{00000000-0005-0000-0000-0000AB000000}"/>
    <cellStyle name="Comma 3 2 2 5" xfId="962" xr:uid="{00000000-0005-0000-0000-0000AD000000}"/>
    <cellStyle name="Comma 3 2 2 6" xfId="1197" xr:uid="{00000000-0005-0000-0000-000096000000}"/>
    <cellStyle name="Comma 3 2 3" xfId="489" xr:uid="{00000000-0005-0000-0000-0000AD000000}"/>
    <cellStyle name="Comma 3 2 3 2" xfId="622" xr:uid="{32F74F88-5A39-4FB9-80E9-4E782CE58DB8}"/>
    <cellStyle name="Comma 3 2 3 2 2" xfId="868" xr:uid="{32F74F88-5A39-4FB9-80E9-4E782CE58DB8}"/>
    <cellStyle name="Comma 3 2 3 2 3" xfId="1119" xr:uid="{32F74F88-5A39-4FB9-80E9-4E782CE58DB8}"/>
    <cellStyle name="Comma 3 2 3 3" xfId="747" xr:uid="{00000000-0005-0000-0000-0000AD000000}"/>
    <cellStyle name="Comma 3 2 3 4" xfId="992" xr:uid="{00000000-0005-0000-0000-0000AF000000}"/>
    <cellStyle name="Comma 3 2 3 5" xfId="1247" xr:uid="{00000000-0005-0000-0000-0000BD000000}"/>
    <cellStyle name="Comma 3 2 4" xfId="559" xr:uid="{46563ED0-CBC0-4174-98A2-C106EB26A195}"/>
    <cellStyle name="Comma 3 2 4 2" xfId="808" xr:uid="{46563ED0-CBC0-4174-98A2-C106EB26A195}"/>
    <cellStyle name="Comma 3 2 4 3" xfId="1059" xr:uid="{46563ED0-CBC0-4174-98A2-C106EB26A195}"/>
    <cellStyle name="Comma 3 2 5" xfId="687" xr:uid="{00000000-0005-0000-0000-0000AA000000}"/>
    <cellStyle name="Comma 3 2 6" xfId="930" xr:uid="{00000000-0005-0000-0000-0000AC000000}"/>
    <cellStyle name="Comma 3 2 7" xfId="1196" xr:uid="{00000000-0005-0000-0000-000095000000}"/>
    <cellStyle name="Comma 3 3" xfId="456" xr:uid="{00000000-0005-0000-0000-0000AE000000}"/>
    <cellStyle name="Comma 3 3 2" xfId="521" xr:uid="{00000000-0005-0000-0000-0000AF000000}"/>
    <cellStyle name="Comma 3 3 2 2" xfId="651" xr:uid="{1CBB5703-60C9-4CB5-B6D3-D32E13633F66}"/>
    <cellStyle name="Comma 3 3 2 2 2" xfId="897" xr:uid="{1CBB5703-60C9-4CB5-B6D3-D32E13633F66}"/>
    <cellStyle name="Comma 3 3 2 2 3" xfId="1148" xr:uid="{1CBB5703-60C9-4CB5-B6D3-D32E13633F66}"/>
    <cellStyle name="Comma 3 3 2 3" xfId="776" xr:uid="{00000000-0005-0000-0000-0000AF000000}"/>
    <cellStyle name="Comma 3 3 2 4" xfId="1021" xr:uid="{00000000-0005-0000-0000-0000B1000000}"/>
    <cellStyle name="Comma 3 3 2 5" xfId="1276" xr:uid="{00000000-0005-0000-0000-0000F4010000}"/>
    <cellStyle name="Comma 3 3 3" xfId="591" xr:uid="{4C1957EE-845F-4A62-9C59-A0768FDC386C}"/>
    <cellStyle name="Comma 3 3 3 2" xfId="837" xr:uid="{4C1957EE-845F-4A62-9C59-A0768FDC386C}"/>
    <cellStyle name="Comma 3 3 3 3" xfId="1088" xr:uid="{4C1957EE-845F-4A62-9C59-A0768FDC386C}"/>
    <cellStyle name="Comma 3 3 4" xfId="716" xr:uid="{00000000-0005-0000-0000-0000AE000000}"/>
    <cellStyle name="Comma 3 3 5" xfId="961" xr:uid="{00000000-0005-0000-0000-0000B0000000}"/>
    <cellStyle name="Comma 3 3 6" xfId="1198" xr:uid="{00000000-0005-0000-0000-000097000000}"/>
    <cellStyle name="Comma 3 4" xfId="488" xr:uid="{00000000-0005-0000-0000-0000B0000000}"/>
    <cellStyle name="Comma 3 4 2" xfId="621" xr:uid="{580FA279-E673-4FC7-B4D5-55B38969E2AF}"/>
    <cellStyle name="Comma 3 4 2 2" xfId="867" xr:uid="{580FA279-E673-4FC7-B4D5-55B38969E2AF}"/>
    <cellStyle name="Comma 3 4 2 3" xfId="1118" xr:uid="{580FA279-E673-4FC7-B4D5-55B38969E2AF}"/>
    <cellStyle name="Comma 3 4 3" xfId="746" xr:uid="{00000000-0005-0000-0000-0000B0000000}"/>
    <cellStyle name="Comma 3 4 4" xfId="991" xr:uid="{00000000-0005-0000-0000-0000B2000000}"/>
    <cellStyle name="Comma 3 4 5" xfId="1246" xr:uid="{00000000-0005-0000-0000-0000BC000000}"/>
    <cellStyle name="Comma 3 5" xfId="544" xr:uid="{00000000-0005-0000-0000-0000B1000000}"/>
    <cellStyle name="Comma 3 5 2" xfId="671" xr:uid="{CD9CBF9E-BDCC-4322-AFB8-D10143DE9190}"/>
    <cellStyle name="Comma 3 5 2 2" xfId="917" xr:uid="{CD9CBF9E-BDCC-4322-AFB8-D10143DE9190}"/>
    <cellStyle name="Comma 3 5 2 3" xfId="1168" xr:uid="{CD9CBF9E-BDCC-4322-AFB8-D10143DE9190}"/>
    <cellStyle name="Comma 3 5 3" xfId="796" xr:uid="{00000000-0005-0000-0000-0000B1000000}"/>
    <cellStyle name="Comma 3 5 4" xfId="1041" xr:uid="{00000000-0005-0000-0000-0000B3000000}"/>
    <cellStyle name="Comma 3 6" xfId="558" xr:uid="{62D48FBF-C84B-44C1-B507-9413BEADD295}"/>
    <cellStyle name="Comma 3 6 2" xfId="807" xr:uid="{62D48FBF-C84B-44C1-B507-9413BEADD295}"/>
    <cellStyle name="Comma 3 6 3" xfId="1058" xr:uid="{62D48FBF-C84B-44C1-B507-9413BEADD295}"/>
    <cellStyle name="Comma 3 7" xfId="686" xr:uid="{00000000-0005-0000-0000-0000A9000000}"/>
    <cellStyle name="Comma 3 8" xfId="929" xr:uid="{00000000-0005-0000-0000-0000AB000000}"/>
    <cellStyle name="Comma 3 9" xfId="1195" xr:uid="{00000000-0005-0000-0000-000094000000}"/>
    <cellStyle name="Comma 4" xfId="145" xr:uid="{00000000-0005-0000-0000-0000B2000000}"/>
    <cellStyle name="Comma 4 2" xfId="146" xr:uid="{00000000-0005-0000-0000-0000B3000000}"/>
    <cellStyle name="Comma 4 2 2" xfId="147" xr:uid="{00000000-0005-0000-0000-0000B4000000}"/>
    <cellStyle name="Comma 4 2 2 2" xfId="148" xr:uid="{00000000-0005-0000-0000-0000B5000000}"/>
    <cellStyle name="Comma 4 2 2 2 2" xfId="149" xr:uid="{00000000-0005-0000-0000-0000B6000000}"/>
    <cellStyle name="Comma 4 2 2 3" xfId="150" xr:uid="{00000000-0005-0000-0000-0000B7000000}"/>
    <cellStyle name="Comma 4 2 2 4" xfId="151" xr:uid="{00000000-0005-0000-0000-0000B8000000}"/>
    <cellStyle name="Comma 4 3" xfId="152" xr:uid="{00000000-0005-0000-0000-0000B9000000}"/>
    <cellStyle name="Comma 4 3 2" xfId="459" xr:uid="{00000000-0005-0000-0000-0000BA000000}"/>
    <cellStyle name="Comma 4 3 2 2" xfId="524" xr:uid="{00000000-0005-0000-0000-0000BB000000}"/>
    <cellStyle name="Comma 4 3 2 2 2" xfId="654" xr:uid="{CDE32440-C902-42AD-9BB0-20511EFBA9EC}"/>
    <cellStyle name="Comma 4 3 2 2 2 2" xfId="900" xr:uid="{CDE32440-C902-42AD-9BB0-20511EFBA9EC}"/>
    <cellStyle name="Comma 4 3 2 2 2 3" xfId="1151" xr:uid="{CDE32440-C902-42AD-9BB0-20511EFBA9EC}"/>
    <cellStyle name="Comma 4 3 2 2 3" xfId="779" xr:uid="{00000000-0005-0000-0000-0000BB000000}"/>
    <cellStyle name="Comma 4 3 2 2 4" xfId="1024" xr:uid="{00000000-0005-0000-0000-0000BD000000}"/>
    <cellStyle name="Comma 4 3 2 2 5" xfId="1279" xr:uid="{00000000-0005-0000-0000-0000F7010000}"/>
    <cellStyle name="Comma 4 3 2 3" xfId="594" xr:uid="{CD07353E-D74C-48B6-B1B2-D80C3551CF86}"/>
    <cellStyle name="Comma 4 3 2 3 2" xfId="840" xr:uid="{CD07353E-D74C-48B6-B1B2-D80C3551CF86}"/>
    <cellStyle name="Comma 4 3 2 3 3" xfId="1091" xr:uid="{CD07353E-D74C-48B6-B1B2-D80C3551CF86}"/>
    <cellStyle name="Comma 4 3 2 4" xfId="719" xr:uid="{00000000-0005-0000-0000-0000BA000000}"/>
    <cellStyle name="Comma 4 3 2 5" xfId="964" xr:uid="{00000000-0005-0000-0000-0000BC000000}"/>
    <cellStyle name="Comma 4 3 2 6" xfId="1201" xr:uid="{00000000-0005-0000-0000-0000A0000000}"/>
    <cellStyle name="Comma 4 3 3" xfId="491" xr:uid="{00000000-0005-0000-0000-0000BC000000}"/>
    <cellStyle name="Comma 4 3 3 2" xfId="624" xr:uid="{8D073470-3C3D-4266-B90B-4A4FA55DB738}"/>
    <cellStyle name="Comma 4 3 3 2 2" xfId="870" xr:uid="{8D073470-3C3D-4266-B90B-4A4FA55DB738}"/>
    <cellStyle name="Comma 4 3 3 2 3" xfId="1121" xr:uid="{8D073470-3C3D-4266-B90B-4A4FA55DB738}"/>
    <cellStyle name="Comma 4 3 3 3" xfId="749" xr:uid="{00000000-0005-0000-0000-0000BC000000}"/>
    <cellStyle name="Comma 4 3 3 4" xfId="994" xr:uid="{00000000-0005-0000-0000-0000BE000000}"/>
    <cellStyle name="Comma 4 3 3 5" xfId="1249" xr:uid="{00000000-0005-0000-0000-0000C5000000}"/>
    <cellStyle name="Comma 4 3 4" xfId="561" xr:uid="{80878B37-E231-4D3C-8737-615A085F2E12}"/>
    <cellStyle name="Comma 4 3 4 2" xfId="810" xr:uid="{80878B37-E231-4D3C-8737-615A085F2E12}"/>
    <cellStyle name="Comma 4 3 4 3" xfId="1061" xr:uid="{80878B37-E231-4D3C-8737-615A085F2E12}"/>
    <cellStyle name="Comma 4 3 5" xfId="689" xr:uid="{00000000-0005-0000-0000-0000B9000000}"/>
    <cellStyle name="Comma 4 3 6" xfId="932" xr:uid="{00000000-0005-0000-0000-0000BB000000}"/>
    <cellStyle name="Comma 4 3 7" xfId="1200" xr:uid="{00000000-0005-0000-0000-00009F000000}"/>
    <cellStyle name="Comma 4 4" xfId="458" xr:uid="{00000000-0005-0000-0000-0000BD000000}"/>
    <cellStyle name="Comma 4 4 2" xfId="523" xr:uid="{00000000-0005-0000-0000-0000BE000000}"/>
    <cellStyle name="Comma 4 4 2 2" xfId="653" xr:uid="{83FE25D6-21B7-4443-8B8F-1000DCE350ED}"/>
    <cellStyle name="Comma 4 4 2 2 2" xfId="899" xr:uid="{83FE25D6-21B7-4443-8B8F-1000DCE350ED}"/>
    <cellStyle name="Comma 4 4 2 2 3" xfId="1150" xr:uid="{83FE25D6-21B7-4443-8B8F-1000DCE350ED}"/>
    <cellStyle name="Comma 4 4 2 3" xfId="778" xr:uid="{00000000-0005-0000-0000-0000BE000000}"/>
    <cellStyle name="Comma 4 4 2 4" xfId="1023" xr:uid="{00000000-0005-0000-0000-0000C0000000}"/>
    <cellStyle name="Comma 4 4 2 5" xfId="1278" xr:uid="{00000000-0005-0000-0000-0000F6010000}"/>
    <cellStyle name="Comma 4 4 3" xfId="593" xr:uid="{1F29CBCE-30C3-4F83-9536-1CD933B7BB41}"/>
    <cellStyle name="Comma 4 4 3 2" xfId="839" xr:uid="{1F29CBCE-30C3-4F83-9536-1CD933B7BB41}"/>
    <cellStyle name="Comma 4 4 3 3" xfId="1090" xr:uid="{1F29CBCE-30C3-4F83-9536-1CD933B7BB41}"/>
    <cellStyle name="Comma 4 4 4" xfId="718" xr:uid="{00000000-0005-0000-0000-0000BD000000}"/>
    <cellStyle name="Comma 4 4 5" xfId="963" xr:uid="{00000000-0005-0000-0000-0000BF000000}"/>
    <cellStyle name="Comma 4 4 6" xfId="1202" xr:uid="{00000000-0005-0000-0000-0000A1000000}"/>
    <cellStyle name="Comma 4 5" xfId="490" xr:uid="{00000000-0005-0000-0000-0000BF000000}"/>
    <cellStyle name="Comma 4 5 2" xfId="623" xr:uid="{20954413-32E4-470B-909B-4E5C5CE6396C}"/>
    <cellStyle name="Comma 4 5 2 2" xfId="869" xr:uid="{20954413-32E4-470B-909B-4E5C5CE6396C}"/>
    <cellStyle name="Comma 4 5 2 3" xfId="1120" xr:uid="{20954413-32E4-470B-909B-4E5C5CE6396C}"/>
    <cellStyle name="Comma 4 5 3" xfId="748" xr:uid="{00000000-0005-0000-0000-0000BF000000}"/>
    <cellStyle name="Comma 4 5 4" xfId="993" xr:uid="{00000000-0005-0000-0000-0000C1000000}"/>
    <cellStyle name="Comma 4 5 5" xfId="1248" xr:uid="{00000000-0005-0000-0000-0000BE000000}"/>
    <cellStyle name="Comma 4 6" xfId="560" xr:uid="{3170629B-735B-426D-8395-330B8C21D493}"/>
    <cellStyle name="Comma 4 6 2" xfId="809" xr:uid="{3170629B-735B-426D-8395-330B8C21D493}"/>
    <cellStyle name="Comma 4 6 3" xfId="1060" xr:uid="{3170629B-735B-426D-8395-330B8C21D493}"/>
    <cellStyle name="Comma 4 7" xfId="688" xr:uid="{00000000-0005-0000-0000-0000B2000000}"/>
    <cellStyle name="Comma 4 8" xfId="931" xr:uid="{00000000-0005-0000-0000-0000B4000000}"/>
    <cellStyle name="Comma 4 9" xfId="1199" xr:uid="{00000000-0005-0000-0000-000098000000}"/>
    <cellStyle name="Comma 5" xfId="153" xr:uid="{00000000-0005-0000-0000-0000C0000000}"/>
    <cellStyle name="Comma 5 2" xfId="154" xr:uid="{00000000-0005-0000-0000-0000C1000000}"/>
    <cellStyle name="Comma 6" xfId="155" xr:uid="{00000000-0005-0000-0000-0000C2000000}"/>
    <cellStyle name="Comma 7" xfId="156" xr:uid="{00000000-0005-0000-0000-0000C3000000}"/>
    <cellStyle name="Comma 7 2" xfId="157" xr:uid="{00000000-0005-0000-0000-0000C4000000}"/>
    <cellStyle name="Comma 8" xfId="158" xr:uid="{00000000-0005-0000-0000-0000C5000000}"/>
    <cellStyle name="Comma 9" xfId="159" xr:uid="{00000000-0005-0000-0000-0000C6000000}"/>
    <cellStyle name="comma zerodec" xfId="160" xr:uid="{00000000-0005-0000-0000-0000C7000000}"/>
    <cellStyle name="Comma0" xfId="161" xr:uid="{00000000-0005-0000-0000-0000C8000000}"/>
    <cellStyle name="Copied" xfId="162" xr:uid="{00000000-0005-0000-0000-0000C9000000}"/>
    <cellStyle name="Currency [00]" xfId="163" xr:uid="{00000000-0005-0000-0000-0000CA000000}"/>
    <cellStyle name="Currency0" xfId="164" xr:uid="{00000000-0005-0000-0000-0000CB000000}"/>
    <cellStyle name="Currency0 2" xfId="165" xr:uid="{00000000-0005-0000-0000-0000CC000000}"/>
    <cellStyle name="Currency1" xfId="166" xr:uid="{00000000-0005-0000-0000-0000CD000000}"/>
    <cellStyle name="Date" xfId="167" xr:uid="{00000000-0005-0000-0000-0000D0000000}"/>
    <cellStyle name="Date Short" xfId="168" xr:uid="{00000000-0005-0000-0000-0000D1000000}"/>
    <cellStyle name="Dezimal [0]_NEGS" xfId="169" xr:uid="{00000000-0005-0000-0000-0000D2000000}"/>
    <cellStyle name="Dezimal_NEGS" xfId="170" xr:uid="{00000000-0005-0000-0000-0000D3000000}"/>
    <cellStyle name="Dollar (zero dec)" xfId="171" xr:uid="{00000000-0005-0000-0000-0000D4000000}"/>
    <cellStyle name="dtchi98" xfId="172" xr:uid="{00000000-0005-0000-0000-0000D5000000}"/>
    <cellStyle name="dtchi98c" xfId="173" xr:uid="{00000000-0005-0000-0000-0000D6000000}"/>
    <cellStyle name="Dziesi?tny [0]_Invoices2001Slovakia" xfId="174" xr:uid="{00000000-0005-0000-0000-0000D7000000}"/>
    <cellStyle name="Dziesi?tny_Invoices2001Slovakia" xfId="175" xr:uid="{00000000-0005-0000-0000-0000D8000000}"/>
    <cellStyle name="Dziesietny [0]_Invoices2001Slovakia" xfId="176" xr:uid="{00000000-0005-0000-0000-0000D9000000}"/>
    <cellStyle name="Dziesiętny [0]_Invoices2001Slovakia" xfId="177" xr:uid="{00000000-0005-0000-0000-0000DA000000}"/>
    <cellStyle name="Dziesietny [0]_Invoices2001Slovakia_Book1" xfId="178" xr:uid="{00000000-0005-0000-0000-0000DB000000}"/>
    <cellStyle name="Dziesiętny [0]_Invoices2001Slovakia_Book1" xfId="179" xr:uid="{00000000-0005-0000-0000-0000DC000000}"/>
    <cellStyle name="Dziesietny [0]_Invoices2001Slovakia_Book1_Tong hop Cac tuyen(9-1-06)" xfId="180" xr:uid="{00000000-0005-0000-0000-0000DD000000}"/>
    <cellStyle name="Dziesiętny [0]_Invoices2001Slovakia_Book1_Tong hop Cac tuyen(9-1-06)" xfId="181" xr:uid="{00000000-0005-0000-0000-0000DE000000}"/>
    <cellStyle name="Dziesietny [0]_Invoices2001Slovakia_KL K.C mat duong" xfId="182" xr:uid="{00000000-0005-0000-0000-0000DF000000}"/>
    <cellStyle name="Dziesiętny [0]_Invoices2001Slovakia_Nhalamviec VTC(25-1-05)" xfId="183" xr:uid="{00000000-0005-0000-0000-0000E0000000}"/>
    <cellStyle name="Dziesietny [0]_Invoices2001Slovakia_TDT KHANH HOA" xfId="184" xr:uid="{00000000-0005-0000-0000-0000E1000000}"/>
    <cellStyle name="Dziesiętny [0]_Invoices2001Slovakia_TDT KHANH HOA" xfId="185" xr:uid="{00000000-0005-0000-0000-0000E2000000}"/>
    <cellStyle name="Dziesietny [0]_Invoices2001Slovakia_TDT KHANH HOA_Tong hop Cac tuyen(9-1-06)" xfId="186" xr:uid="{00000000-0005-0000-0000-0000E3000000}"/>
    <cellStyle name="Dziesiętny [0]_Invoices2001Slovakia_TDT KHANH HOA_Tong hop Cac tuyen(9-1-06)" xfId="187" xr:uid="{00000000-0005-0000-0000-0000E4000000}"/>
    <cellStyle name="Dziesietny [0]_Invoices2001Slovakia_TDT quangngai" xfId="188" xr:uid="{00000000-0005-0000-0000-0000E5000000}"/>
    <cellStyle name="Dziesiętny [0]_Invoices2001Slovakia_TDT quangngai" xfId="189" xr:uid="{00000000-0005-0000-0000-0000E6000000}"/>
    <cellStyle name="Dziesietny [0]_Invoices2001Slovakia_Tong hop Cac tuyen(9-1-06)" xfId="190" xr:uid="{00000000-0005-0000-0000-0000E7000000}"/>
    <cellStyle name="Dziesietny_Invoices2001Slovakia" xfId="191" xr:uid="{00000000-0005-0000-0000-0000E8000000}"/>
    <cellStyle name="Dziesiętny_Invoices2001Slovakia" xfId="192" xr:uid="{00000000-0005-0000-0000-0000E9000000}"/>
    <cellStyle name="Dziesietny_Invoices2001Slovakia_Book1" xfId="193" xr:uid="{00000000-0005-0000-0000-0000EA000000}"/>
    <cellStyle name="Dziesiętny_Invoices2001Slovakia_Book1" xfId="194" xr:uid="{00000000-0005-0000-0000-0000EB000000}"/>
    <cellStyle name="Dziesietny_Invoices2001Slovakia_Book1_Tong hop Cac tuyen(9-1-06)" xfId="195" xr:uid="{00000000-0005-0000-0000-0000EC000000}"/>
    <cellStyle name="Dziesiętny_Invoices2001Slovakia_Book1_Tong hop Cac tuyen(9-1-06)" xfId="196" xr:uid="{00000000-0005-0000-0000-0000ED000000}"/>
    <cellStyle name="Dziesietny_Invoices2001Slovakia_KL K.C mat duong" xfId="197" xr:uid="{00000000-0005-0000-0000-0000EE000000}"/>
    <cellStyle name="Dziesiętny_Invoices2001Slovakia_Nhalamviec VTC(25-1-05)" xfId="198" xr:uid="{00000000-0005-0000-0000-0000EF000000}"/>
    <cellStyle name="Dziesietny_Invoices2001Slovakia_TDT KHANH HOA" xfId="199" xr:uid="{00000000-0005-0000-0000-0000F0000000}"/>
    <cellStyle name="Dziesiętny_Invoices2001Slovakia_TDT KHANH HOA" xfId="200" xr:uid="{00000000-0005-0000-0000-0000F1000000}"/>
    <cellStyle name="Dziesietny_Invoices2001Slovakia_TDT KHANH HOA_Tong hop Cac tuyen(9-1-06)" xfId="201" xr:uid="{00000000-0005-0000-0000-0000F2000000}"/>
    <cellStyle name="Dziesiętny_Invoices2001Slovakia_TDT KHANH HOA_Tong hop Cac tuyen(9-1-06)" xfId="202" xr:uid="{00000000-0005-0000-0000-0000F3000000}"/>
    <cellStyle name="Dziesietny_Invoices2001Slovakia_TDT quangngai" xfId="203" xr:uid="{00000000-0005-0000-0000-0000F4000000}"/>
    <cellStyle name="Dziesiętny_Invoices2001Slovakia_TDT quangngai" xfId="204" xr:uid="{00000000-0005-0000-0000-0000F5000000}"/>
    <cellStyle name="Dziesietny_Invoices2001Slovakia_Tong hop Cac tuyen(9-1-06)" xfId="205" xr:uid="{00000000-0005-0000-0000-0000F6000000}"/>
    <cellStyle name="Enter Currency (0)" xfId="206" xr:uid="{00000000-0005-0000-0000-0000F7000000}"/>
    <cellStyle name="Enter Currency (2)" xfId="207" xr:uid="{00000000-0005-0000-0000-0000F8000000}"/>
    <cellStyle name="Enter Units (0)" xfId="208" xr:uid="{00000000-0005-0000-0000-0000F9000000}"/>
    <cellStyle name="Enter Units (1)" xfId="209" xr:uid="{00000000-0005-0000-0000-0000FA000000}"/>
    <cellStyle name="Enter Units (2)" xfId="210" xr:uid="{00000000-0005-0000-0000-0000FB000000}"/>
    <cellStyle name="Entered" xfId="211" xr:uid="{00000000-0005-0000-0000-0000FC000000}"/>
    <cellStyle name="Explanatory Text 2" xfId="212" xr:uid="{00000000-0005-0000-0000-0000FD000000}"/>
    <cellStyle name="Fixed" xfId="213" xr:uid="{00000000-0005-0000-0000-0000FE000000}"/>
    <cellStyle name="Good 2" xfId="214" xr:uid="{00000000-0005-0000-0000-0000FF000000}"/>
    <cellStyle name="Grey" xfId="215" xr:uid="{00000000-0005-0000-0000-000000010000}"/>
    <cellStyle name="hai" xfId="216" xr:uid="{00000000-0005-0000-0000-000001010000}"/>
    <cellStyle name="Head 1" xfId="217" xr:uid="{00000000-0005-0000-0000-000002010000}"/>
    <cellStyle name="HEADER" xfId="218" xr:uid="{00000000-0005-0000-0000-000003010000}"/>
    <cellStyle name="Header1" xfId="219" xr:uid="{00000000-0005-0000-0000-000004010000}"/>
    <cellStyle name="Header2" xfId="220" xr:uid="{00000000-0005-0000-0000-000005010000}"/>
    <cellStyle name="Heading 1 2" xfId="221" xr:uid="{00000000-0005-0000-0000-000006010000}"/>
    <cellStyle name="Heading 2 2" xfId="222" xr:uid="{00000000-0005-0000-0000-000007010000}"/>
    <cellStyle name="Heading 3 2" xfId="223" xr:uid="{00000000-0005-0000-0000-000008010000}"/>
    <cellStyle name="Heading 4 2" xfId="224" xr:uid="{00000000-0005-0000-0000-000009010000}"/>
    <cellStyle name="HEADING1" xfId="225" xr:uid="{00000000-0005-0000-0000-00000A010000}"/>
    <cellStyle name="HEADING2" xfId="226" xr:uid="{00000000-0005-0000-0000-00000B010000}"/>
    <cellStyle name="HEADINGS" xfId="227" xr:uid="{00000000-0005-0000-0000-00000C010000}"/>
    <cellStyle name="HEADINGSTOP" xfId="228" xr:uid="{00000000-0005-0000-0000-00000D010000}"/>
    <cellStyle name="headoption" xfId="229" xr:uid="{00000000-0005-0000-0000-00000E010000}"/>
    <cellStyle name="Hoa-Scholl" xfId="230" xr:uid="{00000000-0005-0000-0000-00000F010000}"/>
    <cellStyle name="Hyperlink 2" xfId="231" xr:uid="{00000000-0005-0000-0000-000010010000}"/>
    <cellStyle name="i·0" xfId="232" xr:uid="{00000000-0005-0000-0000-000011010000}"/>
    <cellStyle name="Input [yellow]" xfId="234" xr:uid="{00000000-0005-0000-0000-000012010000}"/>
    <cellStyle name="Input 2" xfId="233" xr:uid="{00000000-0005-0000-0000-000013010000}"/>
    <cellStyle name="Input 3" xfId="460" xr:uid="{00000000-0005-0000-0000-000014010000}"/>
    <cellStyle name="khanh" xfId="235" xr:uid="{00000000-0005-0000-0000-000015010000}"/>
    <cellStyle name="Ledger 17 x 11 in" xfId="236" xr:uid="{00000000-0005-0000-0000-000016010000}"/>
    <cellStyle name="Link Currency (0)" xfId="237" xr:uid="{00000000-0005-0000-0000-000017010000}"/>
    <cellStyle name="Link Currency (2)" xfId="238" xr:uid="{00000000-0005-0000-0000-000018010000}"/>
    <cellStyle name="Link Units (0)" xfId="239" xr:uid="{00000000-0005-0000-0000-000019010000}"/>
    <cellStyle name="Link Units (1)" xfId="240" xr:uid="{00000000-0005-0000-0000-00001A010000}"/>
    <cellStyle name="Link Units (2)" xfId="241" xr:uid="{00000000-0005-0000-0000-00001B010000}"/>
    <cellStyle name="Linked Cell 2" xfId="242" xr:uid="{00000000-0005-0000-0000-00001C010000}"/>
    <cellStyle name="Millares [0]_Well Timing" xfId="243" xr:uid="{00000000-0005-0000-0000-00001D010000}"/>
    <cellStyle name="Millares_Well Timing" xfId="244" xr:uid="{00000000-0005-0000-0000-00001E010000}"/>
    <cellStyle name="Milliers [0]_      " xfId="245" xr:uid="{00000000-0005-0000-0000-00001F010000}"/>
    <cellStyle name="Milliers_      " xfId="246" xr:uid="{00000000-0005-0000-0000-000020010000}"/>
    <cellStyle name="Model" xfId="247" xr:uid="{00000000-0005-0000-0000-000021010000}"/>
    <cellStyle name="moi" xfId="248" xr:uid="{00000000-0005-0000-0000-000022010000}"/>
    <cellStyle name="Moneda [0]_Well Timing" xfId="249" xr:uid="{00000000-0005-0000-0000-000023010000}"/>
    <cellStyle name="Moneda_Well Timing" xfId="250" xr:uid="{00000000-0005-0000-0000-000024010000}"/>
    <cellStyle name="Monétaire [0]_      " xfId="251" xr:uid="{00000000-0005-0000-0000-000025010000}"/>
    <cellStyle name="Monétaire_      " xfId="252" xr:uid="{00000000-0005-0000-0000-000026010000}"/>
    <cellStyle name="n" xfId="253" xr:uid="{00000000-0005-0000-0000-000027010000}"/>
    <cellStyle name="Neutral 2" xfId="254" xr:uid="{00000000-0005-0000-0000-000028010000}"/>
    <cellStyle name="New Times Roman" xfId="255" xr:uid="{00000000-0005-0000-0000-000029010000}"/>
    <cellStyle name="no dec" xfId="256" xr:uid="{00000000-0005-0000-0000-00002A010000}"/>
    <cellStyle name="Normal" xfId="0" builtinId="0"/>
    <cellStyle name="Normal - Style1" xfId="257" xr:uid="{00000000-0005-0000-0000-00002C010000}"/>
    <cellStyle name="Normal 10" xfId="258" xr:uid="{00000000-0005-0000-0000-00002D010000}"/>
    <cellStyle name="Normal 10 2" xfId="259" xr:uid="{00000000-0005-0000-0000-00002E010000}"/>
    <cellStyle name="Normal 10 2 2" xfId="462" xr:uid="{00000000-0005-0000-0000-00002F010000}"/>
    <cellStyle name="Normal 10 2 2 2" xfId="526" xr:uid="{00000000-0005-0000-0000-000030010000}"/>
    <cellStyle name="Normal 10 2 2 2 2" xfId="656" xr:uid="{284C1E24-E643-4FD8-BC16-C5210A20FF96}"/>
    <cellStyle name="Normal 10 2 2 2 2 2" xfId="902" xr:uid="{284C1E24-E643-4FD8-BC16-C5210A20FF96}"/>
    <cellStyle name="Normal 10 2 2 2 2 3" xfId="1153" xr:uid="{284C1E24-E643-4FD8-BC16-C5210A20FF96}"/>
    <cellStyle name="Normal 10 2 2 2 3" xfId="781" xr:uid="{00000000-0005-0000-0000-000030010000}"/>
    <cellStyle name="Normal 10 2 2 2 4" xfId="1026" xr:uid="{00000000-0005-0000-0000-000030010000}"/>
    <cellStyle name="Normal 10 2 2 2 5" xfId="1281" xr:uid="{00000000-0005-0000-0000-0000FB010000}"/>
    <cellStyle name="Normal 10 2 2 3" xfId="596" xr:uid="{3C0AC02F-B088-49F6-BC22-22A9A500D8B0}"/>
    <cellStyle name="Normal 10 2 2 3 2" xfId="842" xr:uid="{3C0AC02F-B088-49F6-BC22-22A9A500D8B0}"/>
    <cellStyle name="Normal 10 2 2 3 3" xfId="1093" xr:uid="{3C0AC02F-B088-49F6-BC22-22A9A500D8B0}"/>
    <cellStyle name="Normal 10 2 2 4" xfId="721" xr:uid="{00000000-0005-0000-0000-00002F010000}"/>
    <cellStyle name="Normal 10 2 2 5" xfId="966" xr:uid="{00000000-0005-0000-0000-00002F010000}"/>
    <cellStyle name="Normal 10 2 2 6" xfId="1205" xr:uid="{00000000-0005-0000-0000-00000F010000}"/>
    <cellStyle name="Normal 10 2 3" xfId="493" xr:uid="{00000000-0005-0000-0000-000031010000}"/>
    <cellStyle name="Normal 10 2 3 2" xfId="626" xr:uid="{7511542D-029A-495B-A673-F9838824B4CB}"/>
    <cellStyle name="Normal 10 2 3 2 2" xfId="872" xr:uid="{7511542D-029A-495B-A673-F9838824B4CB}"/>
    <cellStyle name="Normal 10 2 3 2 3" xfId="1123" xr:uid="{7511542D-029A-495B-A673-F9838824B4CB}"/>
    <cellStyle name="Normal 10 2 3 3" xfId="751" xr:uid="{00000000-0005-0000-0000-000031010000}"/>
    <cellStyle name="Normal 10 2 3 4" xfId="996" xr:uid="{00000000-0005-0000-0000-000031010000}"/>
    <cellStyle name="Normal 10 2 3 5" xfId="1251" xr:uid="{00000000-0005-0000-0000-000030010000}"/>
    <cellStyle name="Normal 10 2 4" xfId="563" xr:uid="{A2156C16-500A-455B-A404-289D406C391D}"/>
    <cellStyle name="Normal 10 2 4 2" xfId="812" xr:uid="{A2156C16-500A-455B-A404-289D406C391D}"/>
    <cellStyle name="Normal 10 2 4 3" xfId="1063" xr:uid="{A2156C16-500A-455B-A404-289D406C391D}"/>
    <cellStyle name="Normal 10 2 5" xfId="691" xr:uid="{00000000-0005-0000-0000-00002E010000}"/>
    <cellStyle name="Normal 10 2 6" xfId="934" xr:uid="{00000000-0005-0000-0000-00002E010000}"/>
    <cellStyle name="Normal 10 2 7" xfId="1204" xr:uid="{00000000-0005-0000-0000-00000E010000}"/>
    <cellStyle name="Normal 10 3" xfId="260" xr:uid="{00000000-0005-0000-0000-000032010000}"/>
    <cellStyle name="Normal 10 4" xfId="461" xr:uid="{00000000-0005-0000-0000-000033010000}"/>
    <cellStyle name="Normal 10 4 2" xfId="525" xr:uid="{00000000-0005-0000-0000-000034010000}"/>
    <cellStyle name="Normal 10 4 2 2" xfId="655" xr:uid="{04311D58-C539-46B6-B2B7-3399E8CF140E}"/>
    <cellStyle name="Normal 10 4 2 2 2" xfId="901" xr:uid="{04311D58-C539-46B6-B2B7-3399E8CF140E}"/>
    <cellStyle name="Normal 10 4 2 2 3" xfId="1152" xr:uid="{04311D58-C539-46B6-B2B7-3399E8CF140E}"/>
    <cellStyle name="Normal 10 4 2 3" xfId="780" xr:uid="{00000000-0005-0000-0000-000034010000}"/>
    <cellStyle name="Normal 10 4 2 4" xfId="1025" xr:uid="{00000000-0005-0000-0000-000034010000}"/>
    <cellStyle name="Normal 10 4 2 5" xfId="1280" xr:uid="{00000000-0005-0000-0000-0000FA010000}"/>
    <cellStyle name="Normal 10 4 3" xfId="595" xr:uid="{BFB14430-1769-411C-A18C-95FFD6FB2926}"/>
    <cellStyle name="Normal 10 4 3 2" xfId="841" xr:uid="{BFB14430-1769-411C-A18C-95FFD6FB2926}"/>
    <cellStyle name="Normal 10 4 3 3" xfId="1092" xr:uid="{BFB14430-1769-411C-A18C-95FFD6FB2926}"/>
    <cellStyle name="Normal 10 4 4" xfId="720" xr:uid="{00000000-0005-0000-0000-000033010000}"/>
    <cellStyle name="Normal 10 4 5" xfId="965" xr:uid="{00000000-0005-0000-0000-000033010000}"/>
    <cellStyle name="Normal 10 4 6" xfId="1206" xr:uid="{00000000-0005-0000-0000-000011010000}"/>
    <cellStyle name="Normal 10 5" xfId="492" xr:uid="{00000000-0005-0000-0000-000035010000}"/>
    <cellStyle name="Normal 10 5 2" xfId="625" xr:uid="{A70ADEE3-F659-4987-9F16-215F849D72E4}"/>
    <cellStyle name="Normal 10 5 2 2" xfId="871" xr:uid="{A70ADEE3-F659-4987-9F16-215F849D72E4}"/>
    <cellStyle name="Normal 10 5 2 3" xfId="1122" xr:uid="{A70ADEE3-F659-4987-9F16-215F849D72E4}"/>
    <cellStyle name="Normal 10 5 3" xfId="750" xr:uid="{00000000-0005-0000-0000-000035010000}"/>
    <cellStyle name="Normal 10 5 4" xfId="995" xr:uid="{00000000-0005-0000-0000-000035010000}"/>
    <cellStyle name="Normal 10 5 5" xfId="1250" xr:uid="{00000000-0005-0000-0000-00002F010000}"/>
    <cellStyle name="Normal 10 6" xfId="562" xr:uid="{1081D741-B25F-40F8-B49F-6341E3A41F8C}"/>
    <cellStyle name="Normal 10 6 2" xfId="811" xr:uid="{1081D741-B25F-40F8-B49F-6341E3A41F8C}"/>
    <cellStyle name="Normal 10 6 3" xfId="1062" xr:uid="{1081D741-B25F-40F8-B49F-6341E3A41F8C}"/>
    <cellStyle name="Normal 10 7" xfId="690" xr:uid="{00000000-0005-0000-0000-00002D010000}"/>
    <cellStyle name="Normal 10 8" xfId="933" xr:uid="{00000000-0005-0000-0000-00002D010000}"/>
    <cellStyle name="Normal 10 9" xfId="1203" xr:uid="{00000000-0005-0000-0000-00000D010000}"/>
    <cellStyle name="Normal 11" xfId="261" xr:uid="{00000000-0005-0000-0000-000036010000}"/>
    <cellStyle name="Normal 12" xfId="262" xr:uid="{00000000-0005-0000-0000-000037010000}"/>
    <cellStyle name="Normal 13" xfId="263" xr:uid="{00000000-0005-0000-0000-000038010000}"/>
    <cellStyle name="Normal 13 2" xfId="264" xr:uid="{00000000-0005-0000-0000-000039010000}"/>
    <cellStyle name="Normal 13 2 2" xfId="464" xr:uid="{00000000-0005-0000-0000-00003A010000}"/>
    <cellStyle name="Normal 13 2 2 2" xfId="528" xr:uid="{00000000-0005-0000-0000-00003B010000}"/>
    <cellStyle name="Normal 13 2 2 2 2" xfId="658" xr:uid="{C532950C-E7E2-4111-AB47-A7DAD222373F}"/>
    <cellStyle name="Normal 13 2 2 2 2 2" xfId="904" xr:uid="{C532950C-E7E2-4111-AB47-A7DAD222373F}"/>
    <cellStyle name="Normal 13 2 2 2 2 3" xfId="1155" xr:uid="{C532950C-E7E2-4111-AB47-A7DAD222373F}"/>
    <cellStyle name="Normal 13 2 2 2 3" xfId="783" xr:uid="{00000000-0005-0000-0000-00003B010000}"/>
    <cellStyle name="Normal 13 2 2 2 4" xfId="1028" xr:uid="{00000000-0005-0000-0000-00003B010000}"/>
    <cellStyle name="Normal 13 2 2 2 5" xfId="1283" xr:uid="{00000000-0005-0000-0000-0000FD010000}"/>
    <cellStyle name="Normal 13 2 2 3" xfId="598" xr:uid="{DC27161B-FF11-400A-B451-11FEE83D0080}"/>
    <cellStyle name="Normal 13 2 2 3 2" xfId="844" xr:uid="{DC27161B-FF11-400A-B451-11FEE83D0080}"/>
    <cellStyle name="Normal 13 2 2 3 3" xfId="1095" xr:uid="{DC27161B-FF11-400A-B451-11FEE83D0080}"/>
    <cellStyle name="Normal 13 2 2 4" xfId="723" xr:uid="{00000000-0005-0000-0000-00003A010000}"/>
    <cellStyle name="Normal 13 2 2 5" xfId="968" xr:uid="{00000000-0005-0000-0000-00003A010000}"/>
    <cellStyle name="Normal 13 2 2 6" xfId="1209" xr:uid="{00000000-0005-0000-0000-000016010000}"/>
    <cellStyle name="Normal 13 2 3" xfId="495" xr:uid="{00000000-0005-0000-0000-00003C010000}"/>
    <cellStyle name="Normal 13 2 3 2" xfId="628" xr:uid="{8BB39922-54E3-4413-BE31-03570C31C491}"/>
    <cellStyle name="Normal 13 2 3 2 2" xfId="874" xr:uid="{8BB39922-54E3-4413-BE31-03570C31C491}"/>
    <cellStyle name="Normal 13 2 3 2 3" xfId="1125" xr:uid="{8BB39922-54E3-4413-BE31-03570C31C491}"/>
    <cellStyle name="Normal 13 2 3 3" xfId="753" xr:uid="{00000000-0005-0000-0000-00003C010000}"/>
    <cellStyle name="Normal 13 2 3 4" xfId="998" xr:uid="{00000000-0005-0000-0000-00003C010000}"/>
    <cellStyle name="Normal 13 2 3 5" xfId="1253" xr:uid="{00000000-0005-0000-0000-000035010000}"/>
    <cellStyle name="Normal 13 2 4" xfId="565" xr:uid="{F8B10301-04F0-410D-9068-1C32AC0E2EEC}"/>
    <cellStyle name="Normal 13 2 4 2" xfId="814" xr:uid="{F8B10301-04F0-410D-9068-1C32AC0E2EEC}"/>
    <cellStyle name="Normal 13 2 4 3" xfId="1065" xr:uid="{F8B10301-04F0-410D-9068-1C32AC0E2EEC}"/>
    <cellStyle name="Normal 13 2 5" xfId="693" xr:uid="{00000000-0005-0000-0000-000039010000}"/>
    <cellStyle name="Normal 13 2 6" xfId="936" xr:uid="{00000000-0005-0000-0000-000039010000}"/>
    <cellStyle name="Normal 13 2 7" xfId="1208" xr:uid="{00000000-0005-0000-0000-000015010000}"/>
    <cellStyle name="Normal 13 3" xfId="463" xr:uid="{00000000-0005-0000-0000-00003D010000}"/>
    <cellStyle name="Normal 13 3 2" xfId="527" xr:uid="{00000000-0005-0000-0000-00003E010000}"/>
    <cellStyle name="Normal 13 3 2 2" xfId="657" xr:uid="{EA9A62AD-355E-4F24-B85A-B3332542101D}"/>
    <cellStyle name="Normal 13 3 2 2 2" xfId="903" xr:uid="{EA9A62AD-355E-4F24-B85A-B3332542101D}"/>
    <cellStyle name="Normal 13 3 2 2 3" xfId="1154" xr:uid="{EA9A62AD-355E-4F24-B85A-B3332542101D}"/>
    <cellStyle name="Normal 13 3 2 3" xfId="782" xr:uid="{00000000-0005-0000-0000-00003E010000}"/>
    <cellStyle name="Normal 13 3 2 4" xfId="1027" xr:uid="{00000000-0005-0000-0000-00003E010000}"/>
    <cellStyle name="Normal 13 3 2 5" xfId="1282" xr:uid="{00000000-0005-0000-0000-0000FC010000}"/>
    <cellStyle name="Normal 13 3 3" xfId="597" xr:uid="{DFE52179-72B7-4FC4-8533-989AB4FFBC11}"/>
    <cellStyle name="Normal 13 3 3 2" xfId="843" xr:uid="{DFE52179-72B7-4FC4-8533-989AB4FFBC11}"/>
    <cellStyle name="Normal 13 3 3 3" xfId="1094" xr:uid="{DFE52179-72B7-4FC4-8533-989AB4FFBC11}"/>
    <cellStyle name="Normal 13 3 4" xfId="722" xr:uid="{00000000-0005-0000-0000-00003D010000}"/>
    <cellStyle name="Normal 13 3 5" xfId="967" xr:uid="{00000000-0005-0000-0000-00003D010000}"/>
    <cellStyle name="Normal 13 3 6" xfId="1210" xr:uid="{00000000-0005-0000-0000-000017010000}"/>
    <cellStyle name="Normal 13 4" xfId="494" xr:uid="{00000000-0005-0000-0000-00003F010000}"/>
    <cellStyle name="Normal 13 4 2" xfId="627" xr:uid="{1452C376-C914-4C17-A3DA-AF512EFAEEAA}"/>
    <cellStyle name="Normal 13 4 2 2" xfId="873" xr:uid="{1452C376-C914-4C17-A3DA-AF512EFAEEAA}"/>
    <cellStyle name="Normal 13 4 2 3" xfId="1124" xr:uid="{1452C376-C914-4C17-A3DA-AF512EFAEEAA}"/>
    <cellStyle name="Normal 13 4 3" xfId="752" xr:uid="{00000000-0005-0000-0000-00003F010000}"/>
    <cellStyle name="Normal 13 4 4" xfId="997" xr:uid="{00000000-0005-0000-0000-00003F010000}"/>
    <cellStyle name="Normal 13 4 5" xfId="1252" xr:uid="{00000000-0005-0000-0000-000034010000}"/>
    <cellStyle name="Normal 13 5" xfId="564" xr:uid="{1244EC51-CA0E-4E13-8854-1FF1EB83AEA2}"/>
    <cellStyle name="Normal 13 5 2" xfId="813" xr:uid="{1244EC51-CA0E-4E13-8854-1FF1EB83AEA2}"/>
    <cellStyle name="Normal 13 5 3" xfId="1064" xr:uid="{1244EC51-CA0E-4E13-8854-1FF1EB83AEA2}"/>
    <cellStyle name="Normal 13 6" xfId="692" xr:uid="{00000000-0005-0000-0000-000038010000}"/>
    <cellStyle name="Normal 13 7" xfId="935" xr:uid="{00000000-0005-0000-0000-000038010000}"/>
    <cellStyle name="Normal 13 8" xfId="1207" xr:uid="{00000000-0005-0000-0000-000014010000}"/>
    <cellStyle name="Normal 14" xfId="265" xr:uid="{00000000-0005-0000-0000-000040010000}"/>
    <cellStyle name="Normal 14 2" xfId="496" xr:uid="{00000000-0005-0000-0000-000041010000}"/>
    <cellStyle name="Normal 15" xfId="266" xr:uid="{00000000-0005-0000-0000-000042010000}"/>
    <cellStyle name="Normal 15 2" xfId="267" xr:uid="{00000000-0005-0000-0000-000043010000}"/>
    <cellStyle name="Normal 15 2 2" xfId="466" xr:uid="{00000000-0005-0000-0000-000044010000}"/>
    <cellStyle name="Normal 15 2 2 2" xfId="530" xr:uid="{00000000-0005-0000-0000-000045010000}"/>
    <cellStyle name="Normal 15 2 2 2 2" xfId="660" xr:uid="{E3568204-C477-41D2-BD62-01251E872DC5}"/>
    <cellStyle name="Normal 15 2 2 2 2 2" xfId="906" xr:uid="{E3568204-C477-41D2-BD62-01251E872DC5}"/>
    <cellStyle name="Normal 15 2 2 2 2 3" xfId="1157" xr:uid="{E3568204-C477-41D2-BD62-01251E872DC5}"/>
    <cellStyle name="Normal 15 2 2 2 3" xfId="785" xr:uid="{00000000-0005-0000-0000-000045010000}"/>
    <cellStyle name="Normal 15 2 2 2 4" xfId="1030" xr:uid="{00000000-0005-0000-0000-000045010000}"/>
    <cellStyle name="Normal 15 2 2 2 5" xfId="1285" xr:uid="{00000000-0005-0000-0000-0000FF010000}"/>
    <cellStyle name="Normal 15 2 2 3" xfId="600" xr:uid="{BA39B726-F69E-4680-8EE5-73D3361D12F9}"/>
    <cellStyle name="Normal 15 2 2 3 2" xfId="846" xr:uid="{BA39B726-F69E-4680-8EE5-73D3361D12F9}"/>
    <cellStyle name="Normal 15 2 2 3 3" xfId="1097" xr:uid="{BA39B726-F69E-4680-8EE5-73D3361D12F9}"/>
    <cellStyle name="Normal 15 2 2 4" xfId="725" xr:uid="{00000000-0005-0000-0000-000044010000}"/>
    <cellStyle name="Normal 15 2 2 5" xfId="970" xr:uid="{00000000-0005-0000-0000-000044010000}"/>
    <cellStyle name="Normal 15 2 2 6" xfId="1213" xr:uid="{00000000-0005-0000-0000-00001B010000}"/>
    <cellStyle name="Normal 15 2 3" xfId="498" xr:uid="{00000000-0005-0000-0000-000046010000}"/>
    <cellStyle name="Normal 15 2 3 2" xfId="630" xr:uid="{6F7A55EC-46A6-42DF-B5E4-8E96516255D9}"/>
    <cellStyle name="Normal 15 2 3 2 2" xfId="876" xr:uid="{6F7A55EC-46A6-42DF-B5E4-8E96516255D9}"/>
    <cellStyle name="Normal 15 2 3 2 3" xfId="1127" xr:uid="{6F7A55EC-46A6-42DF-B5E4-8E96516255D9}"/>
    <cellStyle name="Normal 15 2 3 3" xfId="755" xr:uid="{00000000-0005-0000-0000-000046010000}"/>
    <cellStyle name="Normal 15 2 3 4" xfId="1000" xr:uid="{00000000-0005-0000-0000-000046010000}"/>
    <cellStyle name="Normal 15 2 3 5" xfId="1255" xr:uid="{00000000-0005-0000-0000-000038010000}"/>
    <cellStyle name="Normal 15 2 4" xfId="567" xr:uid="{941B5A11-846D-4A39-BAC4-97370CFAA9D7}"/>
    <cellStyle name="Normal 15 2 4 2" xfId="816" xr:uid="{941B5A11-846D-4A39-BAC4-97370CFAA9D7}"/>
    <cellStyle name="Normal 15 2 4 3" xfId="1067" xr:uid="{941B5A11-846D-4A39-BAC4-97370CFAA9D7}"/>
    <cellStyle name="Normal 15 2 5" xfId="695" xr:uid="{00000000-0005-0000-0000-000043010000}"/>
    <cellStyle name="Normal 15 2 6" xfId="938" xr:uid="{00000000-0005-0000-0000-000043010000}"/>
    <cellStyle name="Normal 15 2 7" xfId="1212" xr:uid="{00000000-0005-0000-0000-00001A010000}"/>
    <cellStyle name="Normal 15 3" xfId="465" xr:uid="{00000000-0005-0000-0000-000047010000}"/>
    <cellStyle name="Normal 15 3 2" xfId="529" xr:uid="{00000000-0005-0000-0000-000048010000}"/>
    <cellStyle name="Normal 15 3 2 2" xfId="659" xr:uid="{4742603E-83F6-47E4-AB47-10EF249BCD32}"/>
    <cellStyle name="Normal 15 3 2 2 2" xfId="905" xr:uid="{4742603E-83F6-47E4-AB47-10EF249BCD32}"/>
    <cellStyle name="Normal 15 3 2 2 3" xfId="1156" xr:uid="{4742603E-83F6-47E4-AB47-10EF249BCD32}"/>
    <cellStyle name="Normal 15 3 2 3" xfId="784" xr:uid="{00000000-0005-0000-0000-000048010000}"/>
    <cellStyle name="Normal 15 3 2 4" xfId="1029" xr:uid="{00000000-0005-0000-0000-000048010000}"/>
    <cellStyle name="Normal 15 3 2 5" xfId="1284" xr:uid="{00000000-0005-0000-0000-0000FE010000}"/>
    <cellStyle name="Normal 15 3 3" xfId="599" xr:uid="{91DEDE59-9314-42CA-AC66-DFFED9D1A352}"/>
    <cellStyle name="Normal 15 3 3 2" xfId="845" xr:uid="{91DEDE59-9314-42CA-AC66-DFFED9D1A352}"/>
    <cellStyle name="Normal 15 3 3 3" xfId="1096" xr:uid="{91DEDE59-9314-42CA-AC66-DFFED9D1A352}"/>
    <cellStyle name="Normal 15 3 4" xfId="724" xr:uid="{00000000-0005-0000-0000-000047010000}"/>
    <cellStyle name="Normal 15 3 5" xfId="969" xr:uid="{00000000-0005-0000-0000-000047010000}"/>
    <cellStyle name="Normal 15 3 6" xfId="1214" xr:uid="{00000000-0005-0000-0000-00001C010000}"/>
    <cellStyle name="Normal 15 4" xfId="497" xr:uid="{00000000-0005-0000-0000-000049010000}"/>
    <cellStyle name="Normal 15 4 2" xfId="629" xr:uid="{9635E2BE-F75D-4665-B394-3ED18780E496}"/>
    <cellStyle name="Normal 15 4 2 2" xfId="875" xr:uid="{9635E2BE-F75D-4665-B394-3ED18780E496}"/>
    <cellStyle name="Normal 15 4 2 3" xfId="1126" xr:uid="{9635E2BE-F75D-4665-B394-3ED18780E496}"/>
    <cellStyle name="Normal 15 4 3" xfId="754" xr:uid="{00000000-0005-0000-0000-000049010000}"/>
    <cellStyle name="Normal 15 4 4" xfId="999" xr:uid="{00000000-0005-0000-0000-000049010000}"/>
    <cellStyle name="Normal 15 4 5" xfId="1254" xr:uid="{00000000-0005-0000-0000-000037010000}"/>
    <cellStyle name="Normal 15 5" xfId="566" xr:uid="{DFE13CF7-66A7-4B1E-8BF6-0E23C4911C81}"/>
    <cellStyle name="Normal 15 5 2" xfId="815" xr:uid="{DFE13CF7-66A7-4B1E-8BF6-0E23C4911C81}"/>
    <cellStyle name="Normal 15 5 3" xfId="1066" xr:uid="{DFE13CF7-66A7-4B1E-8BF6-0E23C4911C81}"/>
    <cellStyle name="Normal 15 6" xfId="694" xr:uid="{00000000-0005-0000-0000-000042010000}"/>
    <cellStyle name="Normal 15 7" xfId="937" xr:uid="{00000000-0005-0000-0000-000042010000}"/>
    <cellStyle name="Normal 15 8" xfId="1211" xr:uid="{00000000-0005-0000-0000-000019010000}"/>
    <cellStyle name="Normal 16" xfId="268" xr:uid="{00000000-0005-0000-0000-00004A010000}"/>
    <cellStyle name="Normal 16 2" xfId="269" xr:uid="{00000000-0005-0000-0000-00004B010000}"/>
    <cellStyle name="Normal 16 2 2" xfId="468" xr:uid="{00000000-0005-0000-0000-00004C010000}"/>
    <cellStyle name="Normal 16 2 2 2" xfId="532" xr:uid="{00000000-0005-0000-0000-00004D010000}"/>
    <cellStyle name="Normal 16 2 2 2 2" xfId="662" xr:uid="{BCD26047-6599-40CF-AED1-7FF61D5A2592}"/>
    <cellStyle name="Normal 16 2 2 2 2 2" xfId="908" xr:uid="{BCD26047-6599-40CF-AED1-7FF61D5A2592}"/>
    <cellStyle name="Normal 16 2 2 2 2 3" xfId="1159" xr:uid="{BCD26047-6599-40CF-AED1-7FF61D5A2592}"/>
    <cellStyle name="Normal 16 2 2 2 3" xfId="787" xr:uid="{00000000-0005-0000-0000-00004D010000}"/>
    <cellStyle name="Normal 16 2 2 2 4" xfId="1032" xr:uid="{00000000-0005-0000-0000-00004D010000}"/>
    <cellStyle name="Normal 16 2 2 2 5" xfId="1287" xr:uid="{00000000-0005-0000-0000-000001020000}"/>
    <cellStyle name="Normal 16 2 2 3" xfId="602" xr:uid="{3E8A6AE6-9664-4BDD-8630-8F6A87E5C6E1}"/>
    <cellStyle name="Normal 16 2 2 3 2" xfId="848" xr:uid="{3E8A6AE6-9664-4BDD-8630-8F6A87E5C6E1}"/>
    <cellStyle name="Normal 16 2 2 3 3" xfId="1099" xr:uid="{3E8A6AE6-9664-4BDD-8630-8F6A87E5C6E1}"/>
    <cellStyle name="Normal 16 2 2 4" xfId="727" xr:uid="{00000000-0005-0000-0000-00004C010000}"/>
    <cellStyle name="Normal 16 2 2 5" xfId="972" xr:uid="{00000000-0005-0000-0000-00004C010000}"/>
    <cellStyle name="Normal 16 2 2 6" xfId="1217" xr:uid="{00000000-0005-0000-0000-00001F010000}"/>
    <cellStyle name="Normal 16 2 3" xfId="500" xr:uid="{00000000-0005-0000-0000-00004E010000}"/>
    <cellStyle name="Normal 16 2 3 2" xfId="632" xr:uid="{40E39FFB-3BD2-4FA1-BAF0-9E6CFB077331}"/>
    <cellStyle name="Normal 16 2 3 2 2" xfId="878" xr:uid="{40E39FFB-3BD2-4FA1-BAF0-9E6CFB077331}"/>
    <cellStyle name="Normal 16 2 3 2 3" xfId="1129" xr:uid="{40E39FFB-3BD2-4FA1-BAF0-9E6CFB077331}"/>
    <cellStyle name="Normal 16 2 3 3" xfId="757" xr:uid="{00000000-0005-0000-0000-00004E010000}"/>
    <cellStyle name="Normal 16 2 3 4" xfId="1002" xr:uid="{00000000-0005-0000-0000-00004E010000}"/>
    <cellStyle name="Normal 16 2 3 5" xfId="1257" xr:uid="{00000000-0005-0000-0000-00003A010000}"/>
    <cellStyle name="Normal 16 2 4" xfId="569" xr:uid="{8383ECFE-1F80-4823-893E-3273D2919F91}"/>
    <cellStyle name="Normal 16 2 4 2" xfId="818" xr:uid="{8383ECFE-1F80-4823-893E-3273D2919F91}"/>
    <cellStyle name="Normal 16 2 4 3" xfId="1069" xr:uid="{8383ECFE-1F80-4823-893E-3273D2919F91}"/>
    <cellStyle name="Normal 16 2 5" xfId="697" xr:uid="{00000000-0005-0000-0000-00004B010000}"/>
    <cellStyle name="Normal 16 2 6" xfId="940" xr:uid="{00000000-0005-0000-0000-00004B010000}"/>
    <cellStyle name="Normal 16 2 7" xfId="1216" xr:uid="{00000000-0005-0000-0000-00001E010000}"/>
    <cellStyle name="Normal 16 3" xfId="467" xr:uid="{00000000-0005-0000-0000-00004F010000}"/>
    <cellStyle name="Normal 16 3 2" xfId="531" xr:uid="{00000000-0005-0000-0000-000050010000}"/>
    <cellStyle name="Normal 16 3 2 2" xfId="661" xr:uid="{A078BADE-0FA5-4ABD-8F7C-5D32135C4495}"/>
    <cellStyle name="Normal 16 3 2 2 2" xfId="907" xr:uid="{A078BADE-0FA5-4ABD-8F7C-5D32135C4495}"/>
    <cellStyle name="Normal 16 3 2 2 3" xfId="1158" xr:uid="{A078BADE-0FA5-4ABD-8F7C-5D32135C4495}"/>
    <cellStyle name="Normal 16 3 2 3" xfId="786" xr:uid="{00000000-0005-0000-0000-000050010000}"/>
    <cellStyle name="Normal 16 3 2 4" xfId="1031" xr:uid="{00000000-0005-0000-0000-000050010000}"/>
    <cellStyle name="Normal 16 3 2 5" xfId="1286" xr:uid="{00000000-0005-0000-0000-000000020000}"/>
    <cellStyle name="Normal 16 3 3" xfId="601" xr:uid="{923F42BA-168E-4C97-AD0F-42F7D1A3CFA8}"/>
    <cellStyle name="Normal 16 3 3 2" xfId="847" xr:uid="{923F42BA-168E-4C97-AD0F-42F7D1A3CFA8}"/>
    <cellStyle name="Normal 16 3 3 3" xfId="1098" xr:uid="{923F42BA-168E-4C97-AD0F-42F7D1A3CFA8}"/>
    <cellStyle name="Normal 16 3 4" xfId="726" xr:uid="{00000000-0005-0000-0000-00004F010000}"/>
    <cellStyle name="Normal 16 3 5" xfId="971" xr:uid="{00000000-0005-0000-0000-00004F010000}"/>
    <cellStyle name="Normal 16 3 6" xfId="1218" xr:uid="{00000000-0005-0000-0000-000020010000}"/>
    <cellStyle name="Normal 16 4" xfId="499" xr:uid="{00000000-0005-0000-0000-000051010000}"/>
    <cellStyle name="Normal 16 4 2" xfId="631" xr:uid="{4C4E4D4E-A69E-46F1-8E57-BA3CC7A27A9E}"/>
    <cellStyle name="Normal 16 4 2 2" xfId="877" xr:uid="{4C4E4D4E-A69E-46F1-8E57-BA3CC7A27A9E}"/>
    <cellStyle name="Normal 16 4 2 3" xfId="1128" xr:uid="{4C4E4D4E-A69E-46F1-8E57-BA3CC7A27A9E}"/>
    <cellStyle name="Normal 16 4 3" xfId="756" xr:uid="{00000000-0005-0000-0000-000051010000}"/>
    <cellStyle name="Normal 16 4 4" xfId="1001" xr:uid="{00000000-0005-0000-0000-000051010000}"/>
    <cellStyle name="Normal 16 4 5" xfId="1256" xr:uid="{00000000-0005-0000-0000-000039010000}"/>
    <cellStyle name="Normal 16 5" xfId="568" xr:uid="{E0D58A65-ECD8-4F4B-903D-F51C0D8C9A1C}"/>
    <cellStyle name="Normal 16 5 2" xfId="817" xr:uid="{E0D58A65-ECD8-4F4B-903D-F51C0D8C9A1C}"/>
    <cellStyle name="Normal 16 5 3" xfId="1068" xr:uid="{E0D58A65-ECD8-4F4B-903D-F51C0D8C9A1C}"/>
    <cellStyle name="Normal 16 6" xfId="696" xr:uid="{00000000-0005-0000-0000-00004A010000}"/>
    <cellStyle name="Normal 16 7" xfId="939" xr:uid="{00000000-0005-0000-0000-00004A010000}"/>
    <cellStyle name="Normal 16 8" xfId="1215" xr:uid="{00000000-0005-0000-0000-00001D010000}"/>
    <cellStyle name="Normal 17" xfId="2" xr:uid="{00000000-0005-0000-0000-000052010000}"/>
    <cellStyle name="Normal 18" xfId="270" xr:uid="{00000000-0005-0000-0000-000053010000}"/>
    <cellStyle name="Normal 19" xfId="271" xr:uid="{00000000-0005-0000-0000-000054010000}"/>
    <cellStyle name="Normal 2" xfId="272" xr:uid="{00000000-0005-0000-0000-000055010000}"/>
    <cellStyle name="Normal 2 2" xfId="273" xr:uid="{00000000-0005-0000-0000-000056010000}"/>
    <cellStyle name="Normal 2 2 2" xfId="274" xr:uid="{00000000-0005-0000-0000-000057010000}"/>
    <cellStyle name="Normal 2 3" xfId="275" xr:uid="{00000000-0005-0000-0000-000058010000}"/>
    <cellStyle name="Normal 2 4" xfId="276" xr:uid="{00000000-0005-0000-0000-000059010000}"/>
    <cellStyle name="Normal 2 5" xfId="277" xr:uid="{00000000-0005-0000-0000-00005A010000}"/>
    <cellStyle name="Normal 2 6" xfId="278" xr:uid="{00000000-0005-0000-0000-00005B010000}"/>
    <cellStyle name="Normal 2 7" xfId="543" xr:uid="{00000000-0005-0000-0000-00005C010000}"/>
    <cellStyle name="Normal 2 7 2" xfId="1219" xr:uid="{00000000-0005-0000-0000-00002B010000}"/>
    <cellStyle name="Normal 2_160507 Bieu mau NSDP ND sua ND73" xfId="279" xr:uid="{00000000-0005-0000-0000-00005D010000}"/>
    <cellStyle name="Normal 20" xfId="445" xr:uid="{00000000-0005-0000-0000-00005E010000}"/>
    <cellStyle name="Normal 21" xfId="280" xr:uid="{00000000-0005-0000-0000-00005F010000}"/>
    <cellStyle name="Normal 22" xfId="510" xr:uid="{00000000-0005-0000-0000-000060010000}"/>
    <cellStyle name="Normal 23" xfId="281" xr:uid="{00000000-0005-0000-0000-000061010000}"/>
    <cellStyle name="Normal 24" xfId="541" xr:uid="{00000000-0005-0000-0000-000062010000}"/>
    <cellStyle name="Normal 25" xfId="282" xr:uid="{00000000-0005-0000-0000-000063010000}"/>
    <cellStyle name="Normal 26" xfId="674" xr:uid="{00000000-0005-0000-0000-000042030000}"/>
    <cellStyle name="Normal 26 2" xfId="1042" xr:uid="{00000000-0005-0000-0000-00004F020000}"/>
    <cellStyle name="Normal 27" xfId="1043" xr:uid="{00000000-0005-0000-0000-000051020000}"/>
    <cellStyle name="Normal 28" xfId="1170" xr:uid="{F7FC13AC-C8B1-49C3-9727-E3AD16A06C5C}"/>
    <cellStyle name="Normal 29" xfId="283" xr:uid="{00000000-0005-0000-0000-000064010000}"/>
    <cellStyle name="Normal 3" xfId="284" xr:uid="{00000000-0005-0000-0000-000065010000}"/>
    <cellStyle name="Normal 3 10" xfId="1220" xr:uid="{00000000-0005-0000-0000-000032010000}"/>
    <cellStyle name="Normal 3 2" xfId="3" xr:uid="{00000000-0005-0000-0000-000066010000}"/>
    <cellStyle name="Normal 3 2 2" xfId="285" xr:uid="{00000000-0005-0000-0000-000067010000}"/>
    <cellStyle name="Normal 3 2 3" xfId="286" xr:uid="{00000000-0005-0000-0000-000068010000}"/>
    <cellStyle name="Normal 3 3" xfId="287" xr:uid="{00000000-0005-0000-0000-000069010000}"/>
    <cellStyle name="Normal 3 3 2" xfId="470" xr:uid="{00000000-0005-0000-0000-00006A010000}"/>
    <cellStyle name="Normal 3 3 2 2" xfId="534" xr:uid="{00000000-0005-0000-0000-00006B010000}"/>
    <cellStyle name="Normal 3 3 2 2 2" xfId="664" xr:uid="{D5C7FA4D-B8E1-4E8E-8667-376E9C24DF9F}"/>
    <cellStyle name="Normal 3 3 2 2 2 2" xfId="910" xr:uid="{D5C7FA4D-B8E1-4E8E-8667-376E9C24DF9F}"/>
    <cellStyle name="Normal 3 3 2 2 2 3" xfId="1161" xr:uid="{D5C7FA4D-B8E1-4E8E-8667-376E9C24DF9F}"/>
    <cellStyle name="Normal 3 3 2 2 3" xfId="789" xr:uid="{00000000-0005-0000-0000-00006B010000}"/>
    <cellStyle name="Normal 3 3 2 2 4" xfId="1034" xr:uid="{00000000-0005-0000-0000-00006B010000}"/>
    <cellStyle name="Normal 3 3 2 2 5" xfId="1289" xr:uid="{00000000-0005-0000-0000-000003020000}"/>
    <cellStyle name="Normal 3 3 2 3" xfId="604" xr:uid="{52A7E04A-D24E-4AE5-A2BB-3A91787518F2}"/>
    <cellStyle name="Normal 3 3 2 3 2" xfId="850" xr:uid="{52A7E04A-D24E-4AE5-A2BB-3A91787518F2}"/>
    <cellStyle name="Normal 3 3 2 3 3" xfId="1101" xr:uid="{52A7E04A-D24E-4AE5-A2BB-3A91787518F2}"/>
    <cellStyle name="Normal 3 3 2 4" xfId="729" xr:uid="{00000000-0005-0000-0000-00006A010000}"/>
    <cellStyle name="Normal 3 3 2 5" xfId="974" xr:uid="{00000000-0005-0000-0000-00006A010000}"/>
    <cellStyle name="Normal 3 3 2 6" xfId="1222" xr:uid="{00000000-0005-0000-0000-000037010000}"/>
    <cellStyle name="Normal 3 3 3" xfId="502" xr:uid="{00000000-0005-0000-0000-00006C010000}"/>
    <cellStyle name="Normal 3 3 3 2" xfId="634" xr:uid="{3D67A6AF-98ED-4623-AC24-EE2FCD058307}"/>
    <cellStyle name="Normal 3 3 3 2 2" xfId="880" xr:uid="{3D67A6AF-98ED-4623-AC24-EE2FCD058307}"/>
    <cellStyle name="Normal 3 3 3 2 3" xfId="1131" xr:uid="{3D67A6AF-98ED-4623-AC24-EE2FCD058307}"/>
    <cellStyle name="Normal 3 3 3 3" xfId="759" xr:uid="{00000000-0005-0000-0000-00006C010000}"/>
    <cellStyle name="Normal 3 3 3 4" xfId="1004" xr:uid="{00000000-0005-0000-0000-00006C010000}"/>
    <cellStyle name="Normal 3 3 3 5" xfId="1259" xr:uid="{00000000-0005-0000-0000-00004C010000}"/>
    <cellStyle name="Normal 3 3 4" xfId="571" xr:uid="{0C5208BA-10CF-47F3-914D-EE8EDA4EDCD1}"/>
    <cellStyle name="Normal 3 3 4 2" xfId="820" xr:uid="{0C5208BA-10CF-47F3-914D-EE8EDA4EDCD1}"/>
    <cellStyle name="Normal 3 3 4 3" xfId="1071" xr:uid="{0C5208BA-10CF-47F3-914D-EE8EDA4EDCD1}"/>
    <cellStyle name="Normal 3 3 5" xfId="699" xr:uid="{00000000-0005-0000-0000-000069010000}"/>
    <cellStyle name="Normal 3 3 6" xfId="942" xr:uid="{00000000-0005-0000-0000-000069010000}"/>
    <cellStyle name="Normal 3 3 7" xfId="1221" xr:uid="{00000000-0005-0000-0000-000036010000}"/>
    <cellStyle name="Normal 3 4" xfId="288" xr:uid="{00000000-0005-0000-0000-00006D010000}"/>
    <cellStyle name="Normal 3 5" xfId="469" xr:uid="{00000000-0005-0000-0000-00006E010000}"/>
    <cellStyle name="Normal 3 5 2" xfId="533" xr:uid="{00000000-0005-0000-0000-00006F010000}"/>
    <cellStyle name="Normal 3 5 2 2" xfId="663" xr:uid="{40A4CF11-3CF5-4C6A-BB8F-A43669AD418C}"/>
    <cellStyle name="Normal 3 5 2 2 2" xfId="909" xr:uid="{40A4CF11-3CF5-4C6A-BB8F-A43669AD418C}"/>
    <cellStyle name="Normal 3 5 2 2 3" xfId="1160" xr:uid="{40A4CF11-3CF5-4C6A-BB8F-A43669AD418C}"/>
    <cellStyle name="Normal 3 5 2 3" xfId="788" xr:uid="{00000000-0005-0000-0000-00006F010000}"/>
    <cellStyle name="Normal 3 5 2 4" xfId="1033" xr:uid="{00000000-0005-0000-0000-00006F010000}"/>
    <cellStyle name="Normal 3 5 2 5" xfId="1288" xr:uid="{00000000-0005-0000-0000-000002020000}"/>
    <cellStyle name="Normal 3 5 3" xfId="603" xr:uid="{EB6A4345-E2D7-49E7-9EF3-7BC1BC9A0371}"/>
    <cellStyle name="Normal 3 5 3 2" xfId="849" xr:uid="{EB6A4345-E2D7-49E7-9EF3-7BC1BC9A0371}"/>
    <cellStyle name="Normal 3 5 3 3" xfId="1100" xr:uid="{EB6A4345-E2D7-49E7-9EF3-7BC1BC9A0371}"/>
    <cellStyle name="Normal 3 5 4" xfId="728" xr:uid="{00000000-0005-0000-0000-00006E010000}"/>
    <cellStyle name="Normal 3 5 5" xfId="973" xr:uid="{00000000-0005-0000-0000-00006E010000}"/>
    <cellStyle name="Normal 3 5 6" xfId="1223" xr:uid="{00000000-0005-0000-0000-000039010000}"/>
    <cellStyle name="Normal 3 6" xfId="501" xr:uid="{00000000-0005-0000-0000-000070010000}"/>
    <cellStyle name="Normal 3 6 2" xfId="633" xr:uid="{3F7877A0-2969-4F04-A5B7-73E620C2B03F}"/>
    <cellStyle name="Normal 3 6 2 2" xfId="879" xr:uid="{3F7877A0-2969-4F04-A5B7-73E620C2B03F}"/>
    <cellStyle name="Normal 3 6 2 3" xfId="1130" xr:uid="{3F7877A0-2969-4F04-A5B7-73E620C2B03F}"/>
    <cellStyle name="Normal 3 6 3" xfId="758" xr:uid="{00000000-0005-0000-0000-000070010000}"/>
    <cellStyle name="Normal 3 6 4" xfId="1003" xr:uid="{00000000-0005-0000-0000-000070010000}"/>
    <cellStyle name="Normal 3 6 5" xfId="1258" xr:uid="{00000000-0005-0000-0000-000049010000}"/>
    <cellStyle name="Normal 3 7" xfId="570" xr:uid="{D28F7927-FB5F-4701-A3E8-7B299FEB20B1}"/>
    <cellStyle name="Normal 3 7 2" xfId="819" xr:uid="{D28F7927-FB5F-4701-A3E8-7B299FEB20B1}"/>
    <cellStyle name="Normal 3 7 3" xfId="1070" xr:uid="{D28F7927-FB5F-4701-A3E8-7B299FEB20B1}"/>
    <cellStyle name="Normal 3 8" xfId="698" xr:uid="{00000000-0005-0000-0000-000065010000}"/>
    <cellStyle name="Normal 3 9" xfId="941" xr:uid="{00000000-0005-0000-0000-000065010000}"/>
    <cellStyle name="Normal 30" xfId="289" xr:uid="{00000000-0005-0000-0000-000071010000}"/>
    <cellStyle name="Normal 31" xfId="290" xr:uid="{00000000-0005-0000-0000-000072010000}"/>
    <cellStyle name="Normal 32" xfId="291" xr:uid="{00000000-0005-0000-0000-000073010000}"/>
    <cellStyle name="Normal 33" xfId="1169" xr:uid="{FAEB5887-EA37-487E-A79E-E82A40AB192D}"/>
    <cellStyle name="Normal 34" xfId="292" xr:uid="{00000000-0005-0000-0000-000074010000}"/>
    <cellStyle name="Normal 35" xfId="1173" xr:uid="{00000000-0005-0000-0000-0000FB040000}"/>
    <cellStyle name="Normal 36" xfId="293" xr:uid="{00000000-0005-0000-0000-000075010000}"/>
    <cellStyle name="Normal 37" xfId="294" xr:uid="{00000000-0005-0000-0000-000076010000}"/>
    <cellStyle name="Normal 38" xfId="295" xr:uid="{00000000-0005-0000-0000-000077010000}"/>
    <cellStyle name="Normal 39" xfId="296" xr:uid="{00000000-0005-0000-0000-000078010000}"/>
    <cellStyle name="Normal 4" xfId="297" xr:uid="{00000000-0005-0000-0000-000079010000}"/>
    <cellStyle name="Normal 4 2" xfId="298" xr:uid="{00000000-0005-0000-0000-00007A010000}"/>
    <cellStyle name="Normal 4 2 2" xfId="472" xr:uid="{00000000-0005-0000-0000-00007B010000}"/>
    <cellStyle name="Normal 4 2 2 2" xfId="536" xr:uid="{00000000-0005-0000-0000-00007C010000}"/>
    <cellStyle name="Normal 4 2 2 2 2" xfId="666" xr:uid="{60105B86-117F-4EE0-B3D9-8BE773059181}"/>
    <cellStyle name="Normal 4 2 2 2 2 2" xfId="912" xr:uid="{60105B86-117F-4EE0-B3D9-8BE773059181}"/>
    <cellStyle name="Normal 4 2 2 2 2 3" xfId="1163" xr:uid="{60105B86-117F-4EE0-B3D9-8BE773059181}"/>
    <cellStyle name="Normal 4 2 2 2 3" xfId="791" xr:uid="{00000000-0005-0000-0000-00007C010000}"/>
    <cellStyle name="Normal 4 2 2 2 4" xfId="1036" xr:uid="{00000000-0005-0000-0000-00007C010000}"/>
    <cellStyle name="Normal 4 2 2 2 5" xfId="1291" xr:uid="{00000000-0005-0000-0000-000005020000}"/>
    <cellStyle name="Normal 4 2 2 3" xfId="606" xr:uid="{B184533E-AA91-4D6F-AAC0-5595CD576D92}"/>
    <cellStyle name="Normal 4 2 2 3 2" xfId="852" xr:uid="{B184533E-AA91-4D6F-AAC0-5595CD576D92}"/>
    <cellStyle name="Normal 4 2 2 3 3" xfId="1103" xr:uid="{B184533E-AA91-4D6F-AAC0-5595CD576D92}"/>
    <cellStyle name="Normal 4 2 2 4" xfId="731" xr:uid="{00000000-0005-0000-0000-00007B010000}"/>
    <cellStyle name="Normal 4 2 2 5" xfId="976" xr:uid="{00000000-0005-0000-0000-00007B010000}"/>
    <cellStyle name="Normal 4 2 2 6" xfId="1226" xr:uid="{00000000-0005-0000-0000-000044010000}"/>
    <cellStyle name="Normal 4 2 3" xfId="504" xr:uid="{00000000-0005-0000-0000-00007D010000}"/>
    <cellStyle name="Normal 4 2 3 2" xfId="636" xr:uid="{49FD4649-C32B-490C-8E65-6468AB09007C}"/>
    <cellStyle name="Normal 4 2 3 2 2" xfId="882" xr:uid="{49FD4649-C32B-490C-8E65-6468AB09007C}"/>
    <cellStyle name="Normal 4 2 3 2 3" xfId="1133" xr:uid="{49FD4649-C32B-490C-8E65-6468AB09007C}"/>
    <cellStyle name="Normal 4 2 3 3" xfId="761" xr:uid="{00000000-0005-0000-0000-00007D010000}"/>
    <cellStyle name="Normal 4 2 3 4" xfId="1006" xr:uid="{00000000-0005-0000-0000-00007D010000}"/>
    <cellStyle name="Normal 4 2 3 5" xfId="1261" xr:uid="{00000000-0005-0000-0000-000057010000}"/>
    <cellStyle name="Normal 4 2 4" xfId="573" xr:uid="{D284A73D-815F-4998-B20E-42EC933CBE1F}"/>
    <cellStyle name="Normal 4 2 4 2" xfId="822" xr:uid="{D284A73D-815F-4998-B20E-42EC933CBE1F}"/>
    <cellStyle name="Normal 4 2 4 3" xfId="1073" xr:uid="{D284A73D-815F-4998-B20E-42EC933CBE1F}"/>
    <cellStyle name="Normal 4 2 5" xfId="701" xr:uid="{00000000-0005-0000-0000-00007A010000}"/>
    <cellStyle name="Normal 4 2 6" xfId="944" xr:uid="{00000000-0005-0000-0000-00007A010000}"/>
    <cellStyle name="Normal 4 2 7" xfId="1225" xr:uid="{00000000-0005-0000-0000-000043010000}"/>
    <cellStyle name="Normal 4 3" xfId="299" xr:uid="{00000000-0005-0000-0000-00007E010000}"/>
    <cellStyle name="Normal 4 4" xfId="471" xr:uid="{00000000-0005-0000-0000-00007F010000}"/>
    <cellStyle name="Normal 4 4 2" xfId="535" xr:uid="{00000000-0005-0000-0000-000080010000}"/>
    <cellStyle name="Normal 4 4 2 2" xfId="665" xr:uid="{C675F651-5B88-4033-8A9B-2ABAF26DC924}"/>
    <cellStyle name="Normal 4 4 2 2 2" xfId="911" xr:uid="{C675F651-5B88-4033-8A9B-2ABAF26DC924}"/>
    <cellStyle name="Normal 4 4 2 2 3" xfId="1162" xr:uid="{C675F651-5B88-4033-8A9B-2ABAF26DC924}"/>
    <cellStyle name="Normal 4 4 2 3" xfId="790" xr:uid="{00000000-0005-0000-0000-000080010000}"/>
    <cellStyle name="Normal 4 4 2 4" xfId="1035" xr:uid="{00000000-0005-0000-0000-000080010000}"/>
    <cellStyle name="Normal 4 4 2 5" xfId="1290" xr:uid="{00000000-0005-0000-0000-000004020000}"/>
    <cellStyle name="Normal 4 4 3" xfId="605" xr:uid="{FD44FEB0-08BA-4A27-B96C-2F2415DAF9AF}"/>
    <cellStyle name="Normal 4 4 3 2" xfId="851" xr:uid="{FD44FEB0-08BA-4A27-B96C-2F2415DAF9AF}"/>
    <cellStyle name="Normal 4 4 3 3" xfId="1102" xr:uid="{FD44FEB0-08BA-4A27-B96C-2F2415DAF9AF}"/>
    <cellStyle name="Normal 4 4 4" xfId="730" xr:uid="{00000000-0005-0000-0000-00007F010000}"/>
    <cellStyle name="Normal 4 4 5" xfId="975" xr:uid="{00000000-0005-0000-0000-00007F010000}"/>
    <cellStyle name="Normal 4 4 6" xfId="1227" xr:uid="{00000000-0005-0000-0000-000046010000}"/>
    <cellStyle name="Normal 4 5" xfId="503" xr:uid="{00000000-0005-0000-0000-000081010000}"/>
    <cellStyle name="Normal 4 5 2" xfId="635" xr:uid="{50074CA7-9C60-4FFB-9F90-DFCA68872D3E}"/>
    <cellStyle name="Normal 4 5 2 2" xfId="881" xr:uid="{50074CA7-9C60-4FFB-9F90-DFCA68872D3E}"/>
    <cellStyle name="Normal 4 5 2 3" xfId="1132" xr:uid="{50074CA7-9C60-4FFB-9F90-DFCA68872D3E}"/>
    <cellStyle name="Normal 4 5 3" xfId="760" xr:uid="{00000000-0005-0000-0000-000081010000}"/>
    <cellStyle name="Normal 4 5 4" xfId="1005" xr:uid="{00000000-0005-0000-0000-000081010000}"/>
    <cellStyle name="Normal 4 5 5" xfId="1260" xr:uid="{00000000-0005-0000-0000-000056010000}"/>
    <cellStyle name="Normal 4 6" xfId="572" xr:uid="{A9AF78CA-4CD3-42AB-A96C-6D413EB298B0}"/>
    <cellStyle name="Normal 4 6 2" xfId="821" xr:uid="{A9AF78CA-4CD3-42AB-A96C-6D413EB298B0}"/>
    <cellStyle name="Normal 4 6 3" xfId="1072" xr:uid="{A9AF78CA-4CD3-42AB-A96C-6D413EB298B0}"/>
    <cellStyle name="Normal 4 7" xfId="700" xr:uid="{00000000-0005-0000-0000-000079010000}"/>
    <cellStyle name="Normal 4 8" xfId="943" xr:uid="{00000000-0005-0000-0000-000079010000}"/>
    <cellStyle name="Normal 4 9" xfId="1224" xr:uid="{00000000-0005-0000-0000-000042010000}"/>
    <cellStyle name="Normal 40" xfId="300" xr:uid="{00000000-0005-0000-0000-000082010000}"/>
    <cellStyle name="Normal 41" xfId="301" xr:uid="{00000000-0005-0000-0000-000083010000}"/>
    <cellStyle name="Normal 42" xfId="302" xr:uid="{00000000-0005-0000-0000-000084010000}"/>
    <cellStyle name="Normal 43" xfId="303" xr:uid="{00000000-0005-0000-0000-000085010000}"/>
    <cellStyle name="Normal 44" xfId="304" xr:uid="{00000000-0005-0000-0000-000086010000}"/>
    <cellStyle name="Normal 45" xfId="305" xr:uid="{00000000-0005-0000-0000-000087010000}"/>
    <cellStyle name="Normal 46" xfId="1171" xr:uid="{A50C1658-C7A2-40AA-9A3E-E144E4BCCF7E}"/>
    <cellStyle name="Normal 47" xfId="306" xr:uid="{00000000-0005-0000-0000-000088010000}"/>
    <cellStyle name="Normal 48" xfId="307" xr:uid="{00000000-0005-0000-0000-000089010000}"/>
    <cellStyle name="Normal 49" xfId="308" xr:uid="{00000000-0005-0000-0000-00008A010000}"/>
    <cellStyle name="Normal 5" xfId="309" xr:uid="{00000000-0005-0000-0000-00008B010000}"/>
    <cellStyle name="Normal 5 2" xfId="310" xr:uid="{00000000-0005-0000-0000-00008C010000}"/>
    <cellStyle name="Normal 5 2 2" xfId="311" xr:uid="{00000000-0005-0000-0000-00008D010000}"/>
    <cellStyle name="Normal 5 2 3" xfId="474" xr:uid="{00000000-0005-0000-0000-00008E010000}"/>
    <cellStyle name="Normal 5 2 3 2" xfId="538" xr:uid="{00000000-0005-0000-0000-00008F010000}"/>
    <cellStyle name="Normal 5 2 3 2 2" xfId="668" xr:uid="{05821666-AF2F-46DE-BADD-E31E93B14F18}"/>
    <cellStyle name="Normal 5 2 3 2 2 2" xfId="914" xr:uid="{05821666-AF2F-46DE-BADD-E31E93B14F18}"/>
    <cellStyle name="Normal 5 2 3 2 2 3" xfId="1165" xr:uid="{05821666-AF2F-46DE-BADD-E31E93B14F18}"/>
    <cellStyle name="Normal 5 2 3 2 3" xfId="793" xr:uid="{00000000-0005-0000-0000-00008F010000}"/>
    <cellStyle name="Normal 5 2 3 2 4" xfId="1038" xr:uid="{00000000-0005-0000-0000-00008F010000}"/>
    <cellStyle name="Normal 5 2 3 2 5" xfId="1293" xr:uid="{00000000-0005-0000-0000-000007020000}"/>
    <cellStyle name="Normal 5 2 3 3" xfId="608" xr:uid="{4DA1824F-B173-429E-917B-B8D4FA91F123}"/>
    <cellStyle name="Normal 5 2 3 3 2" xfId="854" xr:uid="{4DA1824F-B173-429E-917B-B8D4FA91F123}"/>
    <cellStyle name="Normal 5 2 3 3 3" xfId="1105" xr:uid="{4DA1824F-B173-429E-917B-B8D4FA91F123}"/>
    <cellStyle name="Normal 5 2 3 4" xfId="733" xr:uid="{00000000-0005-0000-0000-00008E010000}"/>
    <cellStyle name="Normal 5 2 3 5" xfId="978" xr:uid="{00000000-0005-0000-0000-00008E010000}"/>
    <cellStyle name="Normal 5 2 3 6" xfId="1230" xr:uid="{00000000-0005-0000-0000-000053010000}"/>
    <cellStyle name="Normal 5 2 4" xfId="506" xr:uid="{00000000-0005-0000-0000-000090010000}"/>
    <cellStyle name="Normal 5 2 4 2" xfId="638" xr:uid="{A967FD79-AC60-4723-9E6C-B76B0AC669F6}"/>
    <cellStyle name="Normal 5 2 4 2 2" xfId="884" xr:uid="{A967FD79-AC60-4723-9E6C-B76B0AC669F6}"/>
    <cellStyle name="Normal 5 2 4 2 3" xfId="1135" xr:uid="{A967FD79-AC60-4723-9E6C-B76B0AC669F6}"/>
    <cellStyle name="Normal 5 2 4 3" xfId="763" xr:uid="{00000000-0005-0000-0000-000090010000}"/>
    <cellStyle name="Normal 5 2 4 4" xfId="1008" xr:uid="{00000000-0005-0000-0000-000090010000}"/>
    <cellStyle name="Normal 5 2 4 5" xfId="1263" xr:uid="{00000000-0005-0000-0000-000063010000}"/>
    <cellStyle name="Normal 5 2 5" xfId="575" xr:uid="{F922BAE2-80E8-4349-A259-6A51A915A7E6}"/>
    <cellStyle name="Normal 5 2 5 2" xfId="824" xr:uid="{F922BAE2-80E8-4349-A259-6A51A915A7E6}"/>
    <cellStyle name="Normal 5 2 5 3" xfId="1075" xr:uid="{F922BAE2-80E8-4349-A259-6A51A915A7E6}"/>
    <cellStyle name="Normal 5 2 6" xfId="703" xr:uid="{00000000-0005-0000-0000-00008C010000}"/>
    <cellStyle name="Normal 5 2 7" xfId="946" xr:uid="{00000000-0005-0000-0000-00008C010000}"/>
    <cellStyle name="Normal 5 2 8" xfId="1229" xr:uid="{00000000-0005-0000-0000-000051010000}"/>
    <cellStyle name="Normal 5 3" xfId="312" xr:uid="{00000000-0005-0000-0000-000091010000}"/>
    <cellStyle name="Normal 5 4" xfId="473" xr:uid="{00000000-0005-0000-0000-000092010000}"/>
    <cellStyle name="Normal 5 4 2" xfId="537" xr:uid="{00000000-0005-0000-0000-000093010000}"/>
    <cellStyle name="Normal 5 4 2 2" xfId="667" xr:uid="{B4DC2882-3575-4281-B89E-EDAFED1F559F}"/>
    <cellStyle name="Normal 5 4 2 2 2" xfId="913" xr:uid="{B4DC2882-3575-4281-B89E-EDAFED1F559F}"/>
    <cellStyle name="Normal 5 4 2 2 3" xfId="1164" xr:uid="{B4DC2882-3575-4281-B89E-EDAFED1F559F}"/>
    <cellStyle name="Normal 5 4 2 3" xfId="792" xr:uid="{00000000-0005-0000-0000-000093010000}"/>
    <cellStyle name="Normal 5 4 2 4" xfId="1037" xr:uid="{00000000-0005-0000-0000-000093010000}"/>
    <cellStyle name="Normal 5 4 2 5" xfId="1292" xr:uid="{00000000-0005-0000-0000-000006020000}"/>
    <cellStyle name="Normal 5 4 3" xfId="607" xr:uid="{F8FBF76B-FE68-4DD2-98B6-3DF05D90AEE1}"/>
    <cellStyle name="Normal 5 4 3 2" xfId="853" xr:uid="{F8FBF76B-FE68-4DD2-98B6-3DF05D90AEE1}"/>
    <cellStyle name="Normal 5 4 3 3" xfId="1104" xr:uid="{F8FBF76B-FE68-4DD2-98B6-3DF05D90AEE1}"/>
    <cellStyle name="Normal 5 4 4" xfId="732" xr:uid="{00000000-0005-0000-0000-000092010000}"/>
    <cellStyle name="Normal 5 4 5" xfId="977" xr:uid="{00000000-0005-0000-0000-000092010000}"/>
    <cellStyle name="Normal 5 4 6" xfId="1231" xr:uid="{00000000-0005-0000-0000-000055010000}"/>
    <cellStyle name="Normal 5 5" xfId="505" xr:uid="{00000000-0005-0000-0000-000094010000}"/>
    <cellStyle name="Normal 5 5 2" xfId="637" xr:uid="{5A56B444-907C-4E5D-8360-619B8B8CDE97}"/>
    <cellStyle name="Normal 5 5 2 2" xfId="883" xr:uid="{5A56B444-907C-4E5D-8360-619B8B8CDE97}"/>
    <cellStyle name="Normal 5 5 2 3" xfId="1134" xr:uid="{5A56B444-907C-4E5D-8360-619B8B8CDE97}"/>
    <cellStyle name="Normal 5 5 3" xfId="762" xr:uid="{00000000-0005-0000-0000-000094010000}"/>
    <cellStyle name="Normal 5 5 4" xfId="1007" xr:uid="{00000000-0005-0000-0000-000094010000}"/>
    <cellStyle name="Normal 5 5 5" xfId="1262" xr:uid="{00000000-0005-0000-0000-000062010000}"/>
    <cellStyle name="Normal 5 6" xfId="574" xr:uid="{B1B419E8-C5B4-41FD-8570-D3FDF153A324}"/>
    <cellStyle name="Normal 5 6 2" xfId="823" xr:uid="{B1B419E8-C5B4-41FD-8570-D3FDF153A324}"/>
    <cellStyle name="Normal 5 6 3" xfId="1074" xr:uid="{B1B419E8-C5B4-41FD-8570-D3FDF153A324}"/>
    <cellStyle name="Normal 5 7" xfId="702" xr:uid="{00000000-0005-0000-0000-00008B010000}"/>
    <cellStyle name="Normal 5 8" xfId="945" xr:uid="{00000000-0005-0000-0000-00008B010000}"/>
    <cellStyle name="Normal 5 9" xfId="1228" xr:uid="{00000000-0005-0000-0000-000050010000}"/>
    <cellStyle name="Normal 50" xfId="313" xr:uid="{00000000-0005-0000-0000-000095010000}"/>
    <cellStyle name="Normal 51" xfId="314" xr:uid="{00000000-0005-0000-0000-000096010000}"/>
    <cellStyle name="Normal 52" xfId="1172" xr:uid="{8CB17D98-AE8A-4C14-A7A7-66FB35F7D4BA}"/>
    <cellStyle name="Normal 6" xfId="315" xr:uid="{00000000-0005-0000-0000-000097010000}"/>
    <cellStyle name="Normal 6 2" xfId="316" xr:uid="{00000000-0005-0000-0000-000098010000}"/>
    <cellStyle name="Normal 6 3" xfId="317" xr:uid="{00000000-0005-0000-0000-000099010000}"/>
    <cellStyle name="Normal 6 4" xfId="318" xr:uid="{00000000-0005-0000-0000-00009A010000}"/>
    <cellStyle name="Normal 7" xfId="319" xr:uid="{00000000-0005-0000-0000-00009B010000}"/>
    <cellStyle name="Normal 7 2" xfId="320" xr:uid="{00000000-0005-0000-0000-00009C010000}"/>
    <cellStyle name="Normal 7 2 2" xfId="321" xr:uid="{00000000-0005-0000-0000-00009D010000}"/>
    <cellStyle name="Normal 7 2 2 2" xfId="322" xr:uid="{00000000-0005-0000-0000-00009E010000}"/>
    <cellStyle name="Normal 7 2 3" xfId="323" xr:uid="{00000000-0005-0000-0000-00009F010000}"/>
    <cellStyle name="Normal 7 2 3 2" xfId="324" xr:uid="{00000000-0005-0000-0000-0000A0010000}"/>
    <cellStyle name="Normal 7 2 3 2 3" xfId="325" xr:uid="{00000000-0005-0000-0000-0000A1010000}"/>
    <cellStyle name="Normal 7 2 4" xfId="326" xr:uid="{00000000-0005-0000-0000-0000A2010000}"/>
    <cellStyle name="Normal 7 2 4 2" xfId="327" xr:uid="{00000000-0005-0000-0000-0000A3010000}"/>
    <cellStyle name="Normal 7 2 5" xfId="328" xr:uid="{00000000-0005-0000-0000-0000A4010000}"/>
    <cellStyle name="Normal 7 3" xfId="329" xr:uid="{00000000-0005-0000-0000-0000A5010000}"/>
    <cellStyle name="Normal 7 4" xfId="330" xr:uid="{00000000-0005-0000-0000-0000A6010000}"/>
    <cellStyle name="Normal 7 5" xfId="331" xr:uid="{00000000-0005-0000-0000-0000A7010000}"/>
    <cellStyle name="Normal 8" xfId="332" xr:uid="{00000000-0005-0000-0000-0000A8010000}"/>
    <cellStyle name="Normal 8 2" xfId="475" xr:uid="{00000000-0005-0000-0000-0000A9010000}"/>
    <cellStyle name="Normal 8 2 2" xfId="539" xr:uid="{00000000-0005-0000-0000-0000AA010000}"/>
    <cellStyle name="Normal 8 2 2 2" xfId="669" xr:uid="{CA85835C-A3BB-4031-B2F1-0AAAA5ECFE3D}"/>
    <cellStyle name="Normal 8 2 2 2 2" xfId="915" xr:uid="{CA85835C-A3BB-4031-B2F1-0AAAA5ECFE3D}"/>
    <cellStyle name="Normal 8 2 2 2 3" xfId="1166" xr:uid="{CA85835C-A3BB-4031-B2F1-0AAAA5ECFE3D}"/>
    <cellStyle name="Normal 8 2 2 3" xfId="794" xr:uid="{00000000-0005-0000-0000-0000AA010000}"/>
    <cellStyle name="Normal 8 2 2 4" xfId="1039" xr:uid="{00000000-0005-0000-0000-0000AA010000}"/>
    <cellStyle name="Normal 8 2 2 5" xfId="1294" xr:uid="{00000000-0005-0000-0000-000008020000}"/>
    <cellStyle name="Normal 8 2 3" xfId="609" xr:uid="{4755CC45-8DD9-41C7-AFBC-F501A49C4CCA}"/>
    <cellStyle name="Normal 8 2 3 2" xfId="855" xr:uid="{4755CC45-8DD9-41C7-AFBC-F501A49C4CCA}"/>
    <cellStyle name="Normal 8 2 3 3" xfId="1106" xr:uid="{4755CC45-8DD9-41C7-AFBC-F501A49C4CCA}"/>
    <cellStyle name="Normal 8 2 4" xfId="734" xr:uid="{00000000-0005-0000-0000-0000A9010000}"/>
    <cellStyle name="Normal 8 2 5" xfId="979" xr:uid="{00000000-0005-0000-0000-0000A9010000}"/>
    <cellStyle name="Normal 8 2 6" xfId="1233" xr:uid="{00000000-0005-0000-0000-00006A010000}"/>
    <cellStyle name="Normal 8 3" xfId="507" xr:uid="{00000000-0005-0000-0000-0000AB010000}"/>
    <cellStyle name="Normal 8 3 2" xfId="639" xr:uid="{550569AB-422A-48EE-9DC6-7303BC7D14B5}"/>
    <cellStyle name="Normal 8 3 2 2" xfId="885" xr:uid="{550569AB-422A-48EE-9DC6-7303BC7D14B5}"/>
    <cellStyle name="Normal 8 3 2 3" xfId="1136" xr:uid="{550569AB-422A-48EE-9DC6-7303BC7D14B5}"/>
    <cellStyle name="Normal 8 3 3" xfId="764" xr:uid="{00000000-0005-0000-0000-0000AB010000}"/>
    <cellStyle name="Normal 8 3 4" xfId="1009" xr:uid="{00000000-0005-0000-0000-0000AB010000}"/>
    <cellStyle name="Normal 8 3 5" xfId="1264" xr:uid="{00000000-0005-0000-0000-000079010000}"/>
    <cellStyle name="Normal 8 4" xfId="576" xr:uid="{FF221DEE-18AB-422C-BBA4-FB04DFECFD40}"/>
    <cellStyle name="Normal 8 4 2" xfId="825" xr:uid="{FF221DEE-18AB-422C-BBA4-FB04DFECFD40}"/>
    <cellStyle name="Normal 8 4 3" xfId="1076" xr:uid="{FF221DEE-18AB-422C-BBA4-FB04DFECFD40}"/>
    <cellStyle name="Normal 8 5" xfId="704" xr:uid="{00000000-0005-0000-0000-0000A8010000}"/>
    <cellStyle name="Normal 8 6" xfId="948" xr:uid="{00000000-0005-0000-0000-0000A8010000}"/>
    <cellStyle name="Normal 8 7" xfId="1232" xr:uid="{00000000-0005-0000-0000-000069010000}"/>
    <cellStyle name="Normal 9" xfId="333" xr:uid="{00000000-0005-0000-0000-0000AC010000}"/>
    <cellStyle name="Normal 9 2" xfId="476" xr:uid="{00000000-0005-0000-0000-0000AD010000}"/>
    <cellStyle name="Normal 9 2 2" xfId="540" xr:uid="{00000000-0005-0000-0000-0000AE010000}"/>
    <cellStyle name="Normal 9 2 2 2" xfId="670" xr:uid="{841099A1-6077-4C59-BF65-7C9D4E1264BE}"/>
    <cellStyle name="Normal 9 2 2 2 2" xfId="916" xr:uid="{841099A1-6077-4C59-BF65-7C9D4E1264BE}"/>
    <cellStyle name="Normal 9 2 2 2 3" xfId="1167" xr:uid="{841099A1-6077-4C59-BF65-7C9D4E1264BE}"/>
    <cellStyle name="Normal 9 2 2 3" xfId="795" xr:uid="{00000000-0005-0000-0000-0000AE010000}"/>
    <cellStyle name="Normal 9 2 2 4" xfId="1040" xr:uid="{00000000-0005-0000-0000-0000AE010000}"/>
    <cellStyle name="Normal 9 2 2 5" xfId="1295" xr:uid="{00000000-0005-0000-0000-000009020000}"/>
    <cellStyle name="Normal 9 2 3" xfId="610" xr:uid="{D8383B5A-B97A-4966-83C8-64035D428B08}"/>
    <cellStyle name="Normal 9 2 3 2" xfId="856" xr:uid="{D8383B5A-B97A-4966-83C8-64035D428B08}"/>
    <cellStyle name="Normal 9 2 3 3" xfId="1107" xr:uid="{D8383B5A-B97A-4966-83C8-64035D428B08}"/>
    <cellStyle name="Normal 9 2 4" xfId="735" xr:uid="{00000000-0005-0000-0000-0000AD010000}"/>
    <cellStyle name="Normal 9 2 5" xfId="980" xr:uid="{00000000-0005-0000-0000-0000AD010000}"/>
    <cellStyle name="Normal 9 2 6" xfId="1235" xr:uid="{00000000-0005-0000-0000-00006C010000}"/>
    <cellStyle name="Normal 9 3" xfId="508" xr:uid="{00000000-0005-0000-0000-0000AF010000}"/>
    <cellStyle name="Normal 9 3 2" xfId="640" xr:uid="{C9E6F828-9E7E-49C5-94EA-084BC93A6F94}"/>
    <cellStyle name="Normal 9 3 2 2" xfId="886" xr:uid="{C9E6F828-9E7E-49C5-94EA-084BC93A6F94}"/>
    <cellStyle name="Normal 9 3 2 3" xfId="1137" xr:uid="{C9E6F828-9E7E-49C5-94EA-084BC93A6F94}"/>
    <cellStyle name="Normal 9 3 3" xfId="765" xr:uid="{00000000-0005-0000-0000-0000AF010000}"/>
    <cellStyle name="Normal 9 3 4" xfId="1010" xr:uid="{00000000-0005-0000-0000-0000AF010000}"/>
    <cellStyle name="Normal 9 3 5" xfId="1265" xr:uid="{00000000-0005-0000-0000-00007A010000}"/>
    <cellStyle name="Normal 9 4" xfId="577" xr:uid="{5105DB7A-8D5F-46AA-B35A-9315A73B20C7}"/>
    <cellStyle name="Normal 9 4 2" xfId="826" xr:uid="{5105DB7A-8D5F-46AA-B35A-9315A73B20C7}"/>
    <cellStyle name="Normal 9 4 3" xfId="1077" xr:uid="{5105DB7A-8D5F-46AA-B35A-9315A73B20C7}"/>
    <cellStyle name="Normal 9 5" xfId="705" xr:uid="{00000000-0005-0000-0000-0000AC010000}"/>
    <cellStyle name="Normal 9 6" xfId="949" xr:uid="{00000000-0005-0000-0000-0000AC010000}"/>
    <cellStyle name="Normal 9 7" xfId="1234" xr:uid="{00000000-0005-0000-0000-00006B010000}"/>
    <cellStyle name="Normal_Bieu so 2(DPsua) 2" xfId="6" xr:uid="{00000000-0005-0000-0000-0000B0010000}"/>
    <cellStyle name="Normal_PL.2005" xfId="4" xr:uid="{00000000-0005-0000-0000-0000B1010000}"/>
    <cellStyle name="Normal1" xfId="334" xr:uid="{00000000-0005-0000-0000-0000B2010000}"/>
    <cellStyle name="Normalny_Cennik obowiazuje od 06-08-2001 r (1)" xfId="335" xr:uid="{00000000-0005-0000-0000-0000B3010000}"/>
    <cellStyle name="Note 2" xfId="336" xr:uid="{00000000-0005-0000-0000-0000B4010000}"/>
    <cellStyle name="oft Excel]_x000d__x000a_Comment=open=/f ‚ðw’è‚·‚é‚ÆAƒ†[ƒU[’è‹`ŠÖ”‚ðŠÖ”“\‚è•t‚¯‚Ìˆê——‚É“o˜^‚·‚é‚±‚Æ‚ª‚Å‚«‚Ü‚·B_x000d__x000a_Maximized" xfId="337" xr:uid="{00000000-0005-0000-0000-0000B5010000}"/>
    <cellStyle name="oft Excel]_x000d__x000a_Comment=open=/f ‚ðŽw’è‚·‚é‚ÆAƒ†[ƒU[’è‹`ŠÖ”‚ðŠÖ”“\‚è•t‚¯‚Ìˆê——‚É“o˜^‚·‚é‚±‚Æ‚ª‚Å‚«‚Ü‚·B_x000d__x000a_Maximized" xfId="338" xr:uid="{00000000-0005-0000-0000-0000B6010000}"/>
    <cellStyle name="Output 2" xfId="339" xr:uid="{00000000-0005-0000-0000-0000B7010000}"/>
    <cellStyle name="per.style" xfId="340" xr:uid="{00000000-0005-0000-0000-0000B8010000}"/>
    <cellStyle name="Percent [0]" xfId="341" xr:uid="{00000000-0005-0000-0000-0000B9010000}"/>
    <cellStyle name="Percent [00]" xfId="342" xr:uid="{00000000-0005-0000-0000-0000BA010000}"/>
    <cellStyle name="Percent [2]" xfId="343" xr:uid="{00000000-0005-0000-0000-0000BB010000}"/>
    <cellStyle name="Percent 10" xfId="344" xr:uid="{00000000-0005-0000-0000-0000BC010000}"/>
    <cellStyle name="Percent 2" xfId="345" xr:uid="{00000000-0005-0000-0000-0000BD010000}"/>
    <cellStyle name="Percent 2 2" xfId="346" xr:uid="{00000000-0005-0000-0000-0000BE010000}"/>
    <cellStyle name="Percent 3" xfId="347" xr:uid="{00000000-0005-0000-0000-0000BF010000}"/>
    <cellStyle name="PERCENTAGE" xfId="348" xr:uid="{00000000-0005-0000-0000-0000C0010000}"/>
    <cellStyle name="PrePop Currency (0)" xfId="349" xr:uid="{00000000-0005-0000-0000-0000C1010000}"/>
    <cellStyle name="PrePop Currency (2)" xfId="350" xr:uid="{00000000-0005-0000-0000-0000C2010000}"/>
    <cellStyle name="PrePop Units (0)" xfId="351" xr:uid="{00000000-0005-0000-0000-0000C3010000}"/>
    <cellStyle name="PrePop Units (1)" xfId="352" xr:uid="{00000000-0005-0000-0000-0000C4010000}"/>
    <cellStyle name="PrePop Units (2)" xfId="353" xr:uid="{00000000-0005-0000-0000-0000C5010000}"/>
    <cellStyle name="pricing" xfId="354" xr:uid="{00000000-0005-0000-0000-0000C6010000}"/>
    <cellStyle name="PSChar" xfId="355" xr:uid="{00000000-0005-0000-0000-0000C7010000}"/>
    <cellStyle name="PSHeading" xfId="356" xr:uid="{00000000-0005-0000-0000-0000C8010000}"/>
    <cellStyle name="regstoresfromspecstores" xfId="357" xr:uid="{00000000-0005-0000-0000-0000C9010000}"/>
    <cellStyle name="RevList" xfId="358" xr:uid="{00000000-0005-0000-0000-0000CA010000}"/>
    <cellStyle name="S—_x0008_" xfId="359" xr:uid="{00000000-0005-0000-0000-0000CB010000}"/>
    <cellStyle name="SAPBEXaggData" xfId="360" xr:uid="{00000000-0005-0000-0000-0000CC010000}"/>
    <cellStyle name="SAPBEXaggDataEmph" xfId="361" xr:uid="{00000000-0005-0000-0000-0000CD010000}"/>
    <cellStyle name="SAPBEXaggItem" xfId="362" xr:uid="{00000000-0005-0000-0000-0000CE010000}"/>
    <cellStyle name="SAPBEXchaText" xfId="363" xr:uid="{00000000-0005-0000-0000-0000CF010000}"/>
    <cellStyle name="SAPBEXexcBad7" xfId="364" xr:uid="{00000000-0005-0000-0000-0000D0010000}"/>
    <cellStyle name="SAPBEXexcBad8" xfId="365" xr:uid="{00000000-0005-0000-0000-0000D1010000}"/>
    <cellStyle name="SAPBEXexcBad9" xfId="366" xr:uid="{00000000-0005-0000-0000-0000D2010000}"/>
    <cellStyle name="SAPBEXexcCritical4" xfId="367" xr:uid="{00000000-0005-0000-0000-0000D3010000}"/>
    <cellStyle name="SAPBEXexcCritical5" xfId="368" xr:uid="{00000000-0005-0000-0000-0000D4010000}"/>
    <cellStyle name="SAPBEXexcCritical6" xfId="369" xr:uid="{00000000-0005-0000-0000-0000D5010000}"/>
    <cellStyle name="SAPBEXexcGood1" xfId="370" xr:uid="{00000000-0005-0000-0000-0000D6010000}"/>
    <cellStyle name="SAPBEXexcGood2" xfId="371" xr:uid="{00000000-0005-0000-0000-0000D7010000}"/>
    <cellStyle name="SAPBEXexcGood3" xfId="372" xr:uid="{00000000-0005-0000-0000-0000D8010000}"/>
    <cellStyle name="SAPBEXfilterDrill" xfId="373" xr:uid="{00000000-0005-0000-0000-0000D9010000}"/>
    <cellStyle name="SAPBEXfilterItem" xfId="374" xr:uid="{00000000-0005-0000-0000-0000DA010000}"/>
    <cellStyle name="SAPBEXfilterText" xfId="375" xr:uid="{00000000-0005-0000-0000-0000DB010000}"/>
    <cellStyle name="SAPBEXformats" xfId="376" xr:uid="{00000000-0005-0000-0000-0000DC010000}"/>
    <cellStyle name="SAPBEXheaderItem" xfId="377" xr:uid="{00000000-0005-0000-0000-0000DD010000}"/>
    <cellStyle name="SAPBEXheaderText" xfId="378" xr:uid="{00000000-0005-0000-0000-0000DE010000}"/>
    <cellStyle name="SAPBEXresData" xfId="379" xr:uid="{00000000-0005-0000-0000-0000DF010000}"/>
    <cellStyle name="SAPBEXresDataEmph" xfId="380" xr:uid="{00000000-0005-0000-0000-0000E0010000}"/>
    <cellStyle name="SAPBEXresItem" xfId="381" xr:uid="{00000000-0005-0000-0000-0000E1010000}"/>
    <cellStyle name="SAPBEXstdData" xfId="382" xr:uid="{00000000-0005-0000-0000-0000E2010000}"/>
    <cellStyle name="SAPBEXstdDataEmph" xfId="383" xr:uid="{00000000-0005-0000-0000-0000E3010000}"/>
    <cellStyle name="SAPBEXstdItem" xfId="384" xr:uid="{00000000-0005-0000-0000-0000E4010000}"/>
    <cellStyle name="SAPBEXtitle" xfId="385" xr:uid="{00000000-0005-0000-0000-0000E5010000}"/>
    <cellStyle name="SAPBEXundefined" xfId="386" xr:uid="{00000000-0005-0000-0000-0000E6010000}"/>
    <cellStyle name="SHADEDSTORES" xfId="387" xr:uid="{00000000-0005-0000-0000-0000E7010000}"/>
    <cellStyle name="specstores" xfId="388" xr:uid="{00000000-0005-0000-0000-0000E8010000}"/>
    <cellStyle name="Standard" xfId="389" xr:uid="{00000000-0005-0000-0000-0000E9010000}"/>
    <cellStyle name="Style 1" xfId="390" xr:uid="{00000000-0005-0000-0000-0000EA010000}"/>
    <cellStyle name="Style 2" xfId="391" xr:uid="{00000000-0005-0000-0000-0000EB010000}"/>
    <cellStyle name="Style 3" xfId="392" xr:uid="{00000000-0005-0000-0000-0000EC010000}"/>
    <cellStyle name="Style 4" xfId="393" xr:uid="{00000000-0005-0000-0000-0000ED010000}"/>
    <cellStyle name="Style 5" xfId="394" xr:uid="{00000000-0005-0000-0000-0000EE010000}"/>
    <cellStyle name="Style 6" xfId="395" xr:uid="{00000000-0005-0000-0000-0000EF010000}"/>
    <cellStyle name="subhead" xfId="396" xr:uid="{00000000-0005-0000-0000-0000F0010000}"/>
    <cellStyle name="Subtotal" xfId="397" xr:uid="{00000000-0005-0000-0000-0000F1010000}"/>
    <cellStyle name="T" xfId="398" xr:uid="{00000000-0005-0000-0000-0000F2010000}"/>
    <cellStyle name="T_50-BB Vung tau 2011" xfId="399" xr:uid="{00000000-0005-0000-0000-0000F3010000}"/>
    <cellStyle name="T_50-BB Vung tau 2011_27-8Tong hop PA uoc 2012-DT 2013 -PA 420.000 ty-490.000 ty chuyen doi" xfId="400" xr:uid="{00000000-0005-0000-0000-0000F4010000}"/>
    <cellStyle name="Text Indent A" xfId="401" xr:uid="{00000000-0005-0000-0000-0000F5010000}"/>
    <cellStyle name="Text Indent B" xfId="402" xr:uid="{00000000-0005-0000-0000-0000F6010000}"/>
    <cellStyle name="Text Indent C" xfId="403" xr:uid="{00000000-0005-0000-0000-0000F7010000}"/>
    <cellStyle name="th" xfId="404" xr:uid="{00000000-0005-0000-0000-0000FA010000}"/>
    <cellStyle name="þ_x001d_ðK_x000c_Fý_x001b__x000d_9ýU_x0001_Ð_x0008_¦)_x0007__x0001__x0001_" xfId="405" xr:uid="{00000000-0005-0000-0000-0000FB010000}"/>
    <cellStyle name="Thuyet minh" xfId="406" xr:uid="{00000000-0005-0000-0000-0000FC010000}"/>
    <cellStyle name="Title 2" xfId="407" xr:uid="{00000000-0005-0000-0000-0000F8010000}"/>
    <cellStyle name="Total 2" xfId="408" xr:uid="{00000000-0005-0000-0000-0000F9010000}"/>
    <cellStyle name="viet" xfId="409" xr:uid="{00000000-0005-0000-0000-0000FD010000}"/>
    <cellStyle name="viet2" xfId="410" xr:uid="{00000000-0005-0000-0000-0000FE010000}"/>
    <cellStyle name="Vn Time 13" xfId="411" xr:uid="{00000000-0005-0000-0000-0000FF010000}"/>
    <cellStyle name="Vn Time 14" xfId="412" xr:uid="{00000000-0005-0000-0000-000000020000}"/>
    <cellStyle name="vnbo" xfId="413" xr:uid="{00000000-0005-0000-0000-000001020000}"/>
    <cellStyle name="vnhead1" xfId="414" xr:uid="{00000000-0005-0000-0000-000004020000}"/>
    <cellStyle name="vnhead2" xfId="415" xr:uid="{00000000-0005-0000-0000-000005020000}"/>
    <cellStyle name="vnhead3" xfId="416" xr:uid="{00000000-0005-0000-0000-000006020000}"/>
    <cellStyle name="vnhead4" xfId="417" xr:uid="{00000000-0005-0000-0000-000007020000}"/>
    <cellStyle name="vntxt1" xfId="418" xr:uid="{00000000-0005-0000-0000-000002020000}"/>
    <cellStyle name="vntxt2" xfId="419" xr:uid="{00000000-0005-0000-0000-000003020000}"/>
    <cellStyle name="Walutowy [0]_Invoices2001Slovakia" xfId="420" xr:uid="{00000000-0005-0000-0000-000008020000}"/>
    <cellStyle name="Walutowy_Invoices2001Slovakia" xfId="421" xr:uid="{00000000-0005-0000-0000-000009020000}"/>
    <cellStyle name="Warning Text 2" xfId="422" xr:uid="{00000000-0005-0000-0000-00000A020000}"/>
    <cellStyle name="xuan" xfId="423" xr:uid="{00000000-0005-0000-0000-00000B020000}"/>
    <cellStyle name=" [0.00]_ Att. 1- Cover" xfId="424" xr:uid="{00000000-0005-0000-0000-00000C020000}"/>
    <cellStyle name="_ Att. 1- Cover" xfId="425" xr:uid="{00000000-0005-0000-0000-00000D020000}"/>
    <cellStyle name="?_ Att. 1- Cover" xfId="426" xr:uid="{00000000-0005-0000-0000-00000E020000}"/>
    <cellStyle name="똿뗦먛귟 [0.00]_PRODUCT DETAIL Q1" xfId="427" xr:uid="{00000000-0005-0000-0000-00000F020000}"/>
    <cellStyle name="똿뗦먛귟_PRODUCT DETAIL Q1" xfId="428" xr:uid="{00000000-0005-0000-0000-000010020000}"/>
    <cellStyle name="믅됞 [0.00]_PRODUCT DETAIL Q1" xfId="429" xr:uid="{00000000-0005-0000-0000-000011020000}"/>
    <cellStyle name="믅됞_PRODUCT DETAIL Q1" xfId="430" xr:uid="{00000000-0005-0000-0000-000012020000}"/>
    <cellStyle name="백분율_95" xfId="431" xr:uid="{00000000-0005-0000-0000-000013020000}"/>
    <cellStyle name="뷭?_BOOKSHIP" xfId="432" xr:uid="{00000000-0005-0000-0000-000014020000}"/>
    <cellStyle name="콤마 [0]_1202" xfId="433" xr:uid="{00000000-0005-0000-0000-000015020000}"/>
    <cellStyle name="콤마_1202" xfId="434" xr:uid="{00000000-0005-0000-0000-000016020000}"/>
    <cellStyle name="통화 [0]_1202" xfId="435" xr:uid="{00000000-0005-0000-0000-000017020000}"/>
    <cellStyle name="통화_1202" xfId="436" xr:uid="{00000000-0005-0000-0000-000018020000}"/>
    <cellStyle name="표준_(정보부문)월별인원계획" xfId="437" xr:uid="{00000000-0005-0000-0000-000019020000}"/>
    <cellStyle name="一般_00Q3902REV.1" xfId="438" xr:uid="{00000000-0005-0000-0000-00001A020000}"/>
    <cellStyle name="千分位[0]_00Q3902REV.1" xfId="439" xr:uid="{00000000-0005-0000-0000-00001B020000}"/>
    <cellStyle name="千分位_00Q3902REV.1" xfId="440" xr:uid="{00000000-0005-0000-0000-00001C020000}"/>
    <cellStyle name="標準_BOQ-08" xfId="441" xr:uid="{00000000-0005-0000-0000-00001D020000}"/>
    <cellStyle name="貨幣 [0]_00Q3902REV.1" xfId="442" xr:uid="{00000000-0005-0000-0000-00001E020000}"/>
    <cellStyle name="貨幣[0]_BRE" xfId="443" xr:uid="{00000000-0005-0000-0000-00001F020000}"/>
    <cellStyle name="貨幣_00Q3902REV.1" xfId="444" xr:uid="{00000000-0005-0000-0000-000020020000}"/>
  </cellStyles>
  <dxfs count="0"/>
  <tableStyles count="0" defaultTableStyle="TableStyleMedium9" defaultPivotStyle="PivotStyleLight16"/>
  <colors>
    <mruColors>
      <color rgb="FF0066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3126441</xdr:colOff>
      <xdr:row>2</xdr:row>
      <xdr:rowOff>313765</xdr:rowOff>
    </xdr:from>
    <xdr:to>
      <xdr:col>5</xdr:col>
      <xdr:colOff>168089</xdr:colOff>
      <xdr:row>2</xdr:row>
      <xdr:rowOff>313765</xdr:rowOff>
    </xdr:to>
    <xdr:cxnSp macro="">
      <xdr:nvCxnSpPr>
        <xdr:cNvPr id="2" name="Straight Connector 1">
          <a:extLst>
            <a:ext uri="{FF2B5EF4-FFF2-40B4-BE49-F238E27FC236}">
              <a16:creationId xmlns:a16="http://schemas.microsoft.com/office/drawing/2014/main" id="{BA039541-C2B5-4DB6-AEC9-54D95E87F82F}"/>
            </a:ext>
          </a:extLst>
        </xdr:cNvPr>
        <xdr:cNvCxnSpPr/>
      </xdr:nvCxnSpPr>
      <xdr:spPr bwMode="auto">
        <a:xfrm>
          <a:off x="3602691" y="790015"/>
          <a:ext cx="391869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3375210</xdr:colOff>
      <xdr:row>0</xdr:row>
      <xdr:rowOff>779928</xdr:rowOff>
    </xdr:from>
    <xdr:to>
      <xdr:col>9</xdr:col>
      <xdr:colOff>826994</xdr:colOff>
      <xdr:row>0</xdr:row>
      <xdr:rowOff>783290</xdr:rowOff>
    </xdr:to>
    <xdr:sp macro="" textlink="">
      <xdr:nvSpPr>
        <xdr:cNvPr id="4" name="Line 1">
          <a:extLst>
            <a:ext uri="{FF2B5EF4-FFF2-40B4-BE49-F238E27FC236}">
              <a16:creationId xmlns:a16="http://schemas.microsoft.com/office/drawing/2014/main" id="{851C50C7-4522-4988-85E5-4F5DE19AA05A}"/>
            </a:ext>
          </a:extLst>
        </xdr:cNvPr>
        <xdr:cNvSpPr>
          <a:spLocks noChangeShapeType="1"/>
        </xdr:cNvSpPr>
      </xdr:nvSpPr>
      <xdr:spPr bwMode="auto">
        <a:xfrm flipV="1">
          <a:off x="3775260" y="1018053"/>
          <a:ext cx="3357284" cy="336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190500</xdr:colOff>
      <xdr:row>2</xdr:row>
      <xdr:rowOff>44824</xdr:rowOff>
    </xdr:from>
    <xdr:to>
      <xdr:col>6</xdr:col>
      <xdr:colOff>0</xdr:colOff>
      <xdr:row>2</xdr:row>
      <xdr:rowOff>44824</xdr:rowOff>
    </xdr:to>
    <xdr:cxnSp macro="">
      <xdr:nvCxnSpPr>
        <xdr:cNvPr id="2" name="Straight Connector 1">
          <a:extLst>
            <a:ext uri="{FF2B5EF4-FFF2-40B4-BE49-F238E27FC236}">
              <a16:creationId xmlns:a16="http://schemas.microsoft.com/office/drawing/2014/main" id="{320142A2-431B-49C4-9C01-EB0B19E531F0}"/>
            </a:ext>
          </a:extLst>
        </xdr:cNvPr>
        <xdr:cNvCxnSpPr/>
      </xdr:nvCxnSpPr>
      <xdr:spPr>
        <a:xfrm>
          <a:off x="4543425" y="492499"/>
          <a:ext cx="16287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2</xdr:row>
      <xdr:rowOff>44824</xdr:rowOff>
    </xdr:from>
    <xdr:to>
      <xdr:col>6</xdr:col>
      <xdr:colOff>0</xdr:colOff>
      <xdr:row>2</xdr:row>
      <xdr:rowOff>44824</xdr:rowOff>
    </xdr:to>
    <xdr:cxnSp macro="">
      <xdr:nvCxnSpPr>
        <xdr:cNvPr id="3" name="Straight Connector 2">
          <a:extLst>
            <a:ext uri="{FF2B5EF4-FFF2-40B4-BE49-F238E27FC236}">
              <a16:creationId xmlns:a16="http://schemas.microsoft.com/office/drawing/2014/main" id="{8F47AF3E-D429-4428-8ABD-6459FB7AC93A}"/>
            </a:ext>
          </a:extLst>
        </xdr:cNvPr>
        <xdr:cNvCxnSpPr/>
      </xdr:nvCxnSpPr>
      <xdr:spPr>
        <a:xfrm>
          <a:off x="4543425" y="492499"/>
          <a:ext cx="3048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63"/>
  <sheetViews>
    <sheetView zoomScale="85" zoomScaleNormal="85" workbookViewId="0">
      <pane xSplit="2" ySplit="5" topLeftCell="C27" activePane="bottomRight" state="frozen"/>
      <selection pane="topRight" activeCell="C1" sqref="C1"/>
      <selection pane="bottomLeft" activeCell="A6" sqref="A6"/>
      <selection pane="bottomRight" activeCell="K317" sqref="K317"/>
    </sheetView>
  </sheetViews>
  <sheetFormatPr defaultColWidth="8.85546875" defaultRowHeight="16.5"/>
  <cols>
    <col min="1" max="1" width="7.140625" style="130" customWidth="1"/>
    <col min="2" max="2" width="72.85546875" style="128" customWidth="1"/>
    <col min="3" max="3" width="10.28515625" style="130" customWidth="1"/>
    <col min="4" max="8" width="10" style="130" customWidth="1"/>
    <col min="9" max="9" width="23.42578125" style="128" customWidth="1"/>
    <col min="10" max="10" width="24" style="225" customWidth="1"/>
    <col min="11" max="11" width="43.140625" style="129" customWidth="1"/>
    <col min="12" max="12" width="34" style="128" customWidth="1"/>
    <col min="13" max="16384" width="8.85546875" style="128"/>
  </cols>
  <sheetData>
    <row r="1" spans="1:11" ht="18.75">
      <c r="A1" s="724" t="s">
        <v>331</v>
      </c>
      <c r="B1" s="724"/>
      <c r="C1" s="724"/>
      <c r="D1" s="724"/>
      <c r="E1" s="724"/>
      <c r="F1" s="724"/>
      <c r="G1" s="724"/>
      <c r="H1" s="724"/>
      <c r="I1" s="724"/>
    </row>
    <row r="2" spans="1:11" ht="18.75">
      <c r="A2" s="724" t="s">
        <v>376</v>
      </c>
      <c r="B2" s="724"/>
      <c r="C2" s="724"/>
      <c r="D2" s="724"/>
      <c r="E2" s="724"/>
      <c r="F2" s="724"/>
      <c r="G2" s="724"/>
      <c r="H2" s="724"/>
      <c r="I2" s="724"/>
    </row>
    <row r="3" spans="1:11" ht="25.5" customHeight="1">
      <c r="A3" s="725" t="s">
        <v>418</v>
      </c>
      <c r="B3" s="725"/>
      <c r="C3" s="725"/>
      <c r="D3" s="725"/>
      <c r="E3" s="725"/>
      <c r="F3" s="725"/>
      <c r="G3" s="725"/>
      <c r="H3" s="725"/>
      <c r="I3" s="725"/>
    </row>
    <row r="4" spans="1:11" ht="23.45" customHeight="1">
      <c r="I4" s="131" t="s">
        <v>332</v>
      </c>
    </row>
    <row r="5" spans="1:11" ht="52.5" customHeight="1">
      <c r="A5" s="132" t="s">
        <v>2</v>
      </c>
      <c r="B5" s="123" t="s">
        <v>0</v>
      </c>
      <c r="C5" s="123" t="s">
        <v>333</v>
      </c>
      <c r="D5" s="123" t="s">
        <v>334</v>
      </c>
      <c r="E5" s="123" t="s">
        <v>335</v>
      </c>
      <c r="F5" s="123" t="s">
        <v>336</v>
      </c>
      <c r="G5" s="123" t="s">
        <v>337</v>
      </c>
      <c r="H5" s="123" t="s">
        <v>338</v>
      </c>
      <c r="I5" s="132" t="s">
        <v>1</v>
      </c>
    </row>
    <row r="6" spans="1:11">
      <c r="A6" s="133" t="s">
        <v>89</v>
      </c>
      <c r="B6" s="134" t="s">
        <v>19</v>
      </c>
      <c r="C6" s="135"/>
      <c r="D6" s="135"/>
      <c r="E6" s="135"/>
      <c r="F6" s="135"/>
      <c r="G6" s="135"/>
      <c r="H6" s="135"/>
      <c r="I6" s="203">
        <f>+I7</f>
        <v>6582000000</v>
      </c>
    </row>
    <row r="7" spans="1:11">
      <c r="A7" s="136" t="s">
        <v>3</v>
      </c>
      <c r="B7" s="137" t="s">
        <v>25</v>
      </c>
      <c r="C7" s="124"/>
      <c r="D7" s="124"/>
      <c r="E7" s="124"/>
      <c r="F7" s="124"/>
      <c r="G7" s="124"/>
      <c r="H7" s="124"/>
      <c r="I7" s="138">
        <f>I8+I10+I13</f>
        <v>6582000000</v>
      </c>
    </row>
    <row r="8" spans="1:11">
      <c r="A8" s="124">
        <v>1</v>
      </c>
      <c r="B8" s="137" t="s">
        <v>454</v>
      </c>
      <c r="C8" s="124"/>
      <c r="D8" s="124"/>
      <c r="E8" s="124"/>
      <c r="F8" s="124"/>
      <c r="G8" s="124"/>
      <c r="H8" s="124"/>
      <c r="I8" s="138">
        <f>I9</f>
        <v>40000000</v>
      </c>
    </row>
    <row r="9" spans="1:11" s="141" customFormat="1">
      <c r="A9" s="125"/>
      <c r="B9" s="139" t="s">
        <v>21</v>
      </c>
      <c r="C9" s="125"/>
      <c r="D9" s="125"/>
      <c r="E9" s="125"/>
      <c r="F9" s="125"/>
      <c r="G9" s="125"/>
      <c r="H9" s="125"/>
      <c r="I9" s="140">
        <v>40000000</v>
      </c>
      <c r="J9" s="227"/>
      <c r="K9" s="129"/>
    </row>
    <row r="10" spans="1:11" s="141" customFormat="1">
      <c r="A10" s="124">
        <v>2</v>
      </c>
      <c r="B10" s="137" t="s">
        <v>306</v>
      </c>
      <c r="C10" s="124"/>
      <c r="D10" s="124"/>
      <c r="E10" s="124"/>
      <c r="F10" s="124"/>
      <c r="G10" s="124"/>
      <c r="H10" s="124"/>
      <c r="I10" s="138">
        <f>I11+I12</f>
        <v>6297000000</v>
      </c>
      <c r="J10" s="227"/>
      <c r="K10" s="129"/>
    </row>
    <row r="11" spans="1:11">
      <c r="A11" s="125"/>
      <c r="B11" s="139" t="s">
        <v>22</v>
      </c>
      <c r="C11" s="125"/>
      <c r="D11" s="125"/>
      <c r="E11" s="125"/>
      <c r="F11" s="125"/>
      <c r="G11" s="125"/>
      <c r="H11" s="125"/>
      <c r="I11" s="140">
        <v>6292000000</v>
      </c>
    </row>
    <row r="12" spans="1:11" s="141" customFormat="1" ht="33">
      <c r="A12" s="125"/>
      <c r="B12" s="139" t="s">
        <v>23</v>
      </c>
      <c r="C12" s="125"/>
      <c r="D12" s="125"/>
      <c r="E12" s="125"/>
      <c r="F12" s="125"/>
      <c r="G12" s="125"/>
      <c r="H12" s="125"/>
      <c r="I12" s="140">
        <v>5000000</v>
      </c>
      <c r="J12" s="227"/>
      <c r="K12" s="129"/>
    </row>
    <row r="13" spans="1:11" s="141" customFormat="1">
      <c r="A13" s="124">
        <v>3</v>
      </c>
      <c r="B13" s="137" t="s">
        <v>305</v>
      </c>
      <c r="C13" s="124"/>
      <c r="D13" s="124"/>
      <c r="E13" s="124"/>
      <c r="F13" s="124"/>
      <c r="G13" s="124"/>
      <c r="H13" s="124"/>
      <c r="I13" s="138">
        <f>I14</f>
        <v>245000000</v>
      </c>
      <c r="J13" s="227"/>
      <c r="K13" s="129"/>
    </row>
    <row r="14" spans="1:11" ht="33">
      <c r="A14" s="125"/>
      <c r="B14" s="139" t="s">
        <v>345</v>
      </c>
      <c r="C14" s="125"/>
      <c r="D14" s="125"/>
      <c r="E14" s="125"/>
      <c r="F14" s="125"/>
      <c r="G14" s="125"/>
      <c r="H14" s="125"/>
      <c r="I14" s="140">
        <v>245000000</v>
      </c>
    </row>
    <row r="15" spans="1:11" s="141" customFormat="1">
      <c r="A15" s="136" t="s">
        <v>5</v>
      </c>
      <c r="B15" s="137" t="s">
        <v>17</v>
      </c>
      <c r="C15" s="124"/>
      <c r="D15" s="124"/>
      <c r="E15" s="124"/>
      <c r="F15" s="124"/>
      <c r="G15" s="124"/>
      <c r="H15" s="124"/>
      <c r="I15" s="138"/>
      <c r="J15" s="227"/>
      <c r="K15" s="129"/>
    </row>
    <row r="16" spans="1:11">
      <c r="A16" s="136" t="s">
        <v>90</v>
      </c>
      <c r="B16" s="137" t="s">
        <v>18</v>
      </c>
      <c r="C16" s="124"/>
      <c r="D16" s="124"/>
      <c r="E16" s="124"/>
      <c r="F16" s="124"/>
      <c r="G16" s="124"/>
      <c r="H16" s="124"/>
      <c r="I16" s="138">
        <f>I17+I19+I22</f>
        <v>6582000000</v>
      </c>
    </row>
    <row r="17" spans="1:11">
      <c r="A17" s="124">
        <v>1</v>
      </c>
      <c r="B17" s="137" t="s">
        <v>454</v>
      </c>
      <c r="C17" s="124"/>
      <c r="D17" s="124"/>
      <c r="E17" s="124"/>
      <c r="F17" s="124"/>
      <c r="G17" s="124"/>
      <c r="H17" s="124"/>
      <c r="I17" s="138">
        <f>I18</f>
        <v>40000000</v>
      </c>
    </row>
    <row r="18" spans="1:11" ht="22.15" customHeight="1">
      <c r="A18" s="125"/>
      <c r="B18" s="142" t="str">
        <f>+B9</f>
        <v xml:space="preserve"> - Phí thẩm định dự án đầu tư </v>
      </c>
      <c r="C18" s="126"/>
      <c r="D18" s="126"/>
      <c r="E18" s="126"/>
      <c r="F18" s="126"/>
      <c r="G18" s="126"/>
      <c r="H18" s="126"/>
      <c r="I18" s="140">
        <f>I9</f>
        <v>40000000</v>
      </c>
    </row>
    <row r="19" spans="1:11" s="141" customFormat="1" ht="22.15" customHeight="1">
      <c r="A19" s="124">
        <v>2</v>
      </c>
      <c r="B19" s="137" t="s">
        <v>306</v>
      </c>
      <c r="C19" s="124"/>
      <c r="D19" s="124"/>
      <c r="E19" s="124"/>
      <c r="F19" s="124"/>
      <c r="G19" s="124"/>
      <c r="H19" s="124"/>
      <c r="I19" s="138">
        <f>I20+I21</f>
        <v>6297000000</v>
      </c>
      <c r="J19" s="227"/>
      <c r="K19" s="129"/>
    </row>
    <row r="20" spans="1:11" s="141" customFormat="1">
      <c r="A20" s="125"/>
      <c r="B20" s="139" t="str">
        <f>+B11</f>
        <v xml:space="preserve"> - Phí kiểm soát giết mổ động vật, sát trùng</v>
      </c>
      <c r="C20" s="126"/>
      <c r="D20" s="126"/>
      <c r="E20" s="126"/>
      <c r="F20" s="126"/>
      <c r="G20" s="126"/>
      <c r="H20" s="126"/>
      <c r="I20" s="140">
        <f>I11</f>
        <v>6292000000</v>
      </c>
      <c r="J20" s="227"/>
      <c r="K20" s="129"/>
    </row>
    <row r="21" spans="1:11" ht="36" customHeight="1">
      <c r="A21" s="125"/>
      <c r="B21" s="139" t="str">
        <f>+B12</f>
        <v xml:space="preserve"> - Lệ phí cấp chứng chỉ hành nghề dịch vụ thú y; cấp giấy chứng nhận kiểm dịch động vật, sản phẩm động vật trên cạn</v>
      </c>
      <c r="C21" s="126"/>
      <c r="D21" s="126"/>
      <c r="E21" s="126"/>
      <c r="F21" s="126"/>
      <c r="G21" s="126"/>
      <c r="H21" s="126"/>
      <c r="I21" s="140">
        <f>I12</f>
        <v>5000000</v>
      </c>
    </row>
    <row r="22" spans="1:11" s="141" customFormat="1" ht="24" customHeight="1">
      <c r="A22" s="124">
        <v>3</v>
      </c>
      <c r="B22" s="137" t="s">
        <v>305</v>
      </c>
      <c r="C22" s="124"/>
      <c r="D22" s="124"/>
      <c r="E22" s="124"/>
      <c r="F22" s="124"/>
      <c r="G22" s="124"/>
      <c r="H22" s="124"/>
      <c r="I22" s="138">
        <f>I23</f>
        <v>245000000</v>
      </c>
      <c r="J22" s="227"/>
      <c r="K22" s="129"/>
    </row>
    <row r="23" spans="1:11" s="141" customFormat="1" ht="33">
      <c r="A23" s="125"/>
      <c r="B23" s="139" t="str">
        <f>+B14</f>
        <v xml:space="preserve"> - Phí quảng cáo thuốc BVTV; cấp GCN đủ điều kiện kinh doanh phân bón, thuốc BVTV, ATTP</v>
      </c>
      <c r="C23" s="125"/>
      <c r="D23" s="125"/>
      <c r="E23" s="125"/>
      <c r="F23" s="125"/>
      <c r="G23" s="125"/>
      <c r="H23" s="125"/>
      <c r="I23" s="140">
        <f>I14</f>
        <v>245000000</v>
      </c>
      <c r="J23" s="227"/>
      <c r="K23" s="129"/>
    </row>
    <row r="24" spans="1:11">
      <c r="A24" s="218" t="s">
        <v>68</v>
      </c>
      <c r="B24" s="219" t="s">
        <v>4</v>
      </c>
      <c r="C24" s="222">
        <v>1029504</v>
      </c>
      <c r="D24" s="222">
        <v>412</v>
      </c>
      <c r="E24" s="222"/>
      <c r="F24" s="222"/>
      <c r="G24" s="223"/>
      <c r="H24" s="222"/>
      <c r="I24" s="221">
        <f>+I25+I57</f>
        <v>107566000000</v>
      </c>
      <c r="J24" s="225">
        <v>107566000000</v>
      </c>
      <c r="K24" s="129">
        <f>+J24-I24</f>
        <v>0</v>
      </c>
    </row>
    <row r="25" spans="1:11">
      <c r="A25" s="236" t="s">
        <v>91</v>
      </c>
      <c r="B25" s="237" t="s">
        <v>86</v>
      </c>
      <c r="C25" s="124"/>
      <c r="D25" s="124"/>
      <c r="E25" s="124"/>
      <c r="F25" s="124"/>
      <c r="G25" s="143"/>
      <c r="H25" s="124"/>
      <c r="I25" s="144">
        <f>+I26+I30+I51+I53+I55</f>
        <v>96119000000</v>
      </c>
    </row>
    <row r="26" spans="1:11">
      <c r="A26" s="238" t="s">
        <v>3</v>
      </c>
      <c r="B26" s="239" t="s">
        <v>6</v>
      </c>
      <c r="C26" s="124"/>
      <c r="D26" s="124"/>
      <c r="E26" s="124"/>
      <c r="F26" s="124"/>
      <c r="G26" s="143"/>
      <c r="H26" s="124"/>
      <c r="I26" s="144">
        <f>+I28+I29</f>
        <v>37693000000</v>
      </c>
    </row>
    <row r="27" spans="1:11">
      <c r="A27" s="240"/>
      <c r="B27" s="241" t="s">
        <v>413</v>
      </c>
      <c r="C27" s="124"/>
      <c r="D27" s="124"/>
      <c r="E27" s="124"/>
      <c r="F27" s="124"/>
      <c r="G27" s="143"/>
      <c r="H27" s="124"/>
      <c r="I27" s="144"/>
    </row>
    <row r="28" spans="1:11">
      <c r="A28" s="243"/>
      <c r="B28" s="242" t="s">
        <v>391</v>
      </c>
      <c r="C28" s="125"/>
      <c r="D28" s="125"/>
      <c r="E28" s="125"/>
      <c r="F28" s="125"/>
      <c r="G28" s="126"/>
      <c r="H28" s="125"/>
      <c r="I28" s="253">
        <f>+I65+I111+I137+I177+I215</f>
        <v>27618000000</v>
      </c>
    </row>
    <row r="29" spans="1:11">
      <c r="A29" s="243"/>
      <c r="B29" s="242" t="s">
        <v>392</v>
      </c>
      <c r="C29" s="125"/>
      <c r="D29" s="125"/>
      <c r="E29" s="125"/>
      <c r="F29" s="125"/>
      <c r="G29" s="126"/>
      <c r="H29" s="125"/>
      <c r="I29" s="253">
        <f>+I74+I119+I146+I185+I224</f>
        <v>10075000000</v>
      </c>
    </row>
    <row r="30" spans="1:11">
      <c r="A30" s="238" t="s">
        <v>5</v>
      </c>
      <c r="B30" s="239" t="s">
        <v>92</v>
      </c>
      <c r="C30" s="124"/>
      <c r="D30" s="124"/>
      <c r="E30" s="124"/>
      <c r="F30" s="124"/>
      <c r="G30" s="143"/>
      <c r="H30" s="124"/>
      <c r="I30" s="144">
        <f>+I32+I38+I44+I49</f>
        <v>53930000000</v>
      </c>
    </row>
    <row r="31" spans="1:11">
      <c r="A31" s="243"/>
      <c r="B31" s="242" t="s">
        <v>414</v>
      </c>
      <c r="C31" s="124"/>
      <c r="D31" s="124"/>
      <c r="E31" s="124"/>
      <c r="F31" s="124"/>
      <c r="G31" s="143"/>
      <c r="H31" s="124"/>
      <c r="I31" s="144"/>
    </row>
    <row r="32" spans="1:11">
      <c r="A32" s="244">
        <v>1</v>
      </c>
      <c r="B32" s="245" t="s">
        <v>393</v>
      </c>
      <c r="C32" s="124"/>
      <c r="D32" s="124"/>
      <c r="E32" s="124"/>
      <c r="F32" s="124"/>
      <c r="G32" s="143"/>
      <c r="H32" s="124"/>
      <c r="I32" s="144">
        <f>+I34+I37</f>
        <v>35890000000</v>
      </c>
      <c r="J32" s="225">
        <v>35890000000</v>
      </c>
    </row>
    <row r="33" spans="1:10">
      <c r="A33" s="246"/>
      <c r="B33" s="242" t="s">
        <v>415</v>
      </c>
      <c r="C33" s="124"/>
      <c r="D33" s="124"/>
      <c r="E33" s="124"/>
      <c r="F33" s="124"/>
      <c r="G33" s="143"/>
      <c r="H33" s="124"/>
      <c r="I33" s="144"/>
      <c r="J33" s="225">
        <f>+J32-I32</f>
        <v>0</v>
      </c>
    </row>
    <row r="34" spans="1:10" ht="17.25">
      <c r="A34" s="247" t="s">
        <v>14</v>
      </c>
      <c r="B34" s="248" t="s">
        <v>394</v>
      </c>
      <c r="C34" s="124"/>
      <c r="D34" s="124"/>
      <c r="E34" s="124"/>
      <c r="F34" s="124"/>
      <c r="G34" s="143"/>
      <c r="H34" s="124"/>
      <c r="I34" s="144">
        <f>+I35+I36</f>
        <v>15451000000</v>
      </c>
    </row>
    <row r="35" spans="1:10">
      <c r="A35" s="240"/>
      <c r="B35" s="249" t="s">
        <v>395</v>
      </c>
      <c r="C35" s="124"/>
      <c r="D35" s="124"/>
      <c r="E35" s="124"/>
      <c r="F35" s="124"/>
      <c r="G35" s="143"/>
      <c r="H35" s="124"/>
      <c r="I35" s="253">
        <f>+I197+I234+I262</f>
        <v>15391000000</v>
      </c>
    </row>
    <row r="36" spans="1:10">
      <c r="A36" s="240"/>
      <c r="B36" s="249" t="s">
        <v>396</v>
      </c>
      <c r="C36" s="124"/>
      <c r="D36" s="124"/>
      <c r="E36" s="124"/>
      <c r="F36" s="124"/>
      <c r="G36" s="143"/>
      <c r="H36" s="124"/>
      <c r="I36" s="253">
        <f>+I271</f>
        <v>60000000</v>
      </c>
    </row>
    <row r="37" spans="1:10" ht="34.5">
      <c r="A37" s="247" t="s">
        <v>15</v>
      </c>
      <c r="B37" s="248" t="s">
        <v>397</v>
      </c>
      <c r="C37" s="124"/>
      <c r="D37" s="124"/>
      <c r="E37" s="124"/>
      <c r="F37" s="124"/>
      <c r="G37" s="143"/>
      <c r="H37" s="124"/>
      <c r="I37" s="144">
        <f>+I95+I204+I241+I272</f>
        <v>20439000000</v>
      </c>
    </row>
    <row r="38" spans="1:10">
      <c r="A38" s="244">
        <v>2</v>
      </c>
      <c r="B38" s="245" t="s">
        <v>398</v>
      </c>
      <c r="C38" s="124"/>
      <c r="D38" s="124"/>
      <c r="E38" s="124"/>
      <c r="F38" s="124"/>
      <c r="G38" s="143"/>
      <c r="H38" s="124"/>
      <c r="I38" s="144">
        <f>+I40+I43</f>
        <v>13537000000</v>
      </c>
      <c r="J38" s="225">
        <v>13537000000</v>
      </c>
    </row>
    <row r="39" spans="1:10">
      <c r="A39" s="246"/>
      <c r="B39" s="249" t="s">
        <v>416</v>
      </c>
      <c r="C39" s="124"/>
      <c r="D39" s="124"/>
      <c r="E39" s="124"/>
      <c r="F39" s="124"/>
      <c r="G39" s="143"/>
      <c r="H39" s="124"/>
      <c r="I39" s="144"/>
      <c r="J39" s="225">
        <f>+J38-I38</f>
        <v>0</v>
      </c>
    </row>
    <row r="40" spans="1:10" ht="17.25">
      <c r="A40" s="247" t="s">
        <v>14</v>
      </c>
      <c r="B40" s="248" t="s">
        <v>394</v>
      </c>
      <c r="C40" s="124"/>
      <c r="D40" s="124"/>
      <c r="E40" s="124"/>
      <c r="F40" s="124"/>
      <c r="G40" s="143"/>
      <c r="H40" s="124"/>
      <c r="I40" s="144">
        <f>+I41+I42</f>
        <v>6611000000</v>
      </c>
    </row>
    <row r="41" spans="1:10">
      <c r="A41" s="240"/>
      <c r="B41" s="249" t="s">
        <v>395</v>
      </c>
      <c r="C41" s="124"/>
      <c r="D41" s="124"/>
      <c r="E41" s="124"/>
      <c r="F41" s="124"/>
      <c r="G41" s="143"/>
      <c r="H41" s="124"/>
      <c r="I41" s="253">
        <f>+I160+I282</f>
        <v>5842000000</v>
      </c>
    </row>
    <row r="42" spans="1:10">
      <c r="A42" s="240"/>
      <c r="B42" s="249" t="s">
        <v>396</v>
      </c>
      <c r="C42" s="124"/>
      <c r="D42" s="124"/>
      <c r="E42" s="124"/>
      <c r="F42" s="124"/>
      <c r="G42" s="143"/>
      <c r="H42" s="124"/>
      <c r="I42" s="253">
        <f>+I291+I292</f>
        <v>769000000</v>
      </c>
    </row>
    <row r="43" spans="1:10" ht="34.5">
      <c r="A43" s="247" t="s">
        <v>15</v>
      </c>
      <c r="B43" s="248" t="s">
        <v>399</v>
      </c>
      <c r="C43" s="124"/>
      <c r="D43" s="124"/>
      <c r="E43" s="124"/>
      <c r="F43" s="124"/>
      <c r="G43" s="143"/>
      <c r="H43" s="124"/>
      <c r="I43" s="144">
        <f>+I168+I293</f>
        <v>6926000000</v>
      </c>
    </row>
    <row r="44" spans="1:10">
      <c r="A44" s="244">
        <v>3</v>
      </c>
      <c r="B44" s="245" t="s">
        <v>400</v>
      </c>
      <c r="C44" s="124"/>
      <c r="D44" s="124"/>
      <c r="E44" s="124"/>
      <c r="F44" s="124"/>
      <c r="G44" s="143"/>
      <c r="H44" s="124"/>
      <c r="I44" s="144">
        <f>+I46+I48</f>
        <v>4103000000</v>
      </c>
    </row>
    <row r="45" spans="1:10">
      <c r="A45" s="246"/>
      <c r="B45" s="249" t="s">
        <v>417</v>
      </c>
      <c r="C45" s="124"/>
      <c r="D45" s="124"/>
      <c r="E45" s="124"/>
      <c r="F45" s="124"/>
      <c r="G45" s="143"/>
      <c r="H45" s="124"/>
      <c r="I45" s="144"/>
    </row>
    <row r="46" spans="1:10" ht="17.25">
      <c r="A46" s="247" t="s">
        <v>14</v>
      </c>
      <c r="B46" s="248" t="s">
        <v>394</v>
      </c>
      <c r="C46" s="124"/>
      <c r="D46" s="124"/>
      <c r="E46" s="124"/>
      <c r="F46" s="124"/>
      <c r="G46" s="143"/>
      <c r="H46" s="124"/>
      <c r="I46" s="144">
        <f>+I47</f>
        <v>738000000</v>
      </c>
    </row>
    <row r="47" spans="1:10">
      <c r="A47" s="243"/>
      <c r="B47" s="249" t="s">
        <v>395</v>
      </c>
      <c r="C47" s="125"/>
      <c r="D47" s="125"/>
      <c r="E47" s="125"/>
      <c r="F47" s="125"/>
      <c r="G47" s="126"/>
      <c r="H47" s="125"/>
      <c r="I47" s="253">
        <f>+I299</f>
        <v>738000000</v>
      </c>
    </row>
    <row r="48" spans="1:10" ht="34.5">
      <c r="A48" s="247" t="s">
        <v>15</v>
      </c>
      <c r="B48" s="250" t="s">
        <v>401</v>
      </c>
      <c r="C48" s="124"/>
      <c r="D48" s="124"/>
      <c r="E48" s="124"/>
      <c r="F48" s="124"/>
      <c r="G48" s="143"/>
      <c r="H48" s="124"/>
      <c r="I48" s="144">
        <f>+I129+I306</f>
        <v>3365000000</v>
      </c>
    </row>
    <row r="49" spans="1:11">
      <c r="A49" s="244">
        <v>4</v>
      </c>
      <c r="B49" s="245" t="s">
        <v>93</v>
      </c>
      <c r="C49" s="124"/>
      <c r="D49" s="124"/>
      <c r="E49" s="124"/>
      <c r="F49" s="124"/>
      <c r="G49" s="143"/>
      <c r="H49" s="124"/>
      <c r="I49" s="144">
        <f>+I50</f>
        <v>400000000</v>
      </c>
    </row>
    <row r="50" spans="1:11">
      <c r="A50" s="243"/>
      <c r="B50" s="249" t="s">
        <v>408</v>
      </c>
      <c r="C50" s="125"/>
      <c r="D50" s="125"/>
      <c r="E50" s="125"/>
      <c r="F50" s="125"/>
      <c r="G50" s="126"/>
      <c r="H50" s="125"/>
      <c r="I50" s="253">
        <f>+I97</f>
        <v>400000000</v>
      </c>
    </row>
    <row r="51" spans="1:11">
      <c r="A51" s="238" t="s">
        <v>90</v>
      </c>
      <c r="B51" s="239" t="s">
        <v>402</v>
      </c>
      <c r="C51" s="124"/>
      <c r="D51" s="124"/>
      <c r="E51" s="124"/>
      <c r="F51" s="124"/>
      <c r="G51" s="143"/>
      <c r="H51" s="124"/>
      <c r="I51" s="259">
        <f>+I52</f>
        <v>3220000000</v>
      </c>
    </row>
    <row r="52" spans="1:11">
      <c r="A52" s="243"/>
      <c r="B52" s="249" t="s">
        <v>406</v>
      </c>
      <c r="C52" s="125"/>
      <c r="D52" s="125"/>
      <c r="E52" s="125"/>
      <c r="F52" s="125"/>
      <c r="G52" s="126"/>
      <c r="H52" s="125"/>
      <c r="I52" s="253">
        <f>+I211+I258+I133</f>
        <v>3220000000</v>
      </c>
    </row>
    <row r="53" spans="1:11" s="261" customFormat="1" ht="37.5">
      <c r="A53" s="255" t="s">
        <v>101</v>
      </c>
      <c r="B53" s="256" t="s">
        <v>452</v>
      </c>
      <c r="C53" s="257"/>
      <c r="D53" s="257"/>
      <c r="E53" s="257"/>
      <c r="F53" s="257"/>
      <c r="G53" s="258"/>
      <c r="H53" s="257"/>
      <c r="I53" s="259">
        <f>+I54</f>
        <v>1026000000</v>
      </c>
      <c r="J53" s="260"/>
      <c r="K53" s="260"/>
    </row>
    <row r="54" spans="1:11" ht="18.75">
      <c r="A54" s="243"/>
      <c r="B54" s="252" t="s">
        <v>407</v>
      </c>
      <c r="C54" s="125"/>
      <c r="D54" s="125"/>
      <c r="E54" s="125"/>
      <c r="F54" s="125"/>
      <c r="G54" s="126"/>
      <c r="H54" s="125"/>
      <c r="I54" s="253">
        <f>+I99</f>
        <v>1026000000</v>
      </c>
    </row>
    <row r="55" spans="1:11" s="261" customFormat="1" ht="33">
      <c r="A55" s="255" t="s">
        <v>102</v>
      </c>
      <c r="B55" s="262" t="s">
        <v>453</v>
      </c>
      <c r="C55" s="257"/>
      <c r="D55" s="257"/>
      <c r="E55" s="257"/>
      <c r="F55" s="257"/>
      <c r="G55" s="258"/>
      <c r="H55" s="257"/>
      <c r="I55" s="259">
        <f>+I56</f>
        <v>250000000</v>
      </c>
      <c r="J55" s="260"/>
      <c r="K55" s="260"/>
    </row>
    <row r="56" spans="1:11">
      <c r="A56" s="243"/>
      <c r="B56" s="249" t="s">
        <v>407</v>
      </c>
      <c r="C56" s="125"/>
      <c r="D56" s="125"/>
      <c r="E56" s="125"/>
      <c r="F56" s="125"/>
      <c r="G56" s="126"/>
      <c r="H56" s="125"/>
      <c r="I56" s="253">
        <f>+I106</f>
        <v>250000000</v>
      </c>
    </row>
    <row r="57" spans="1:11" ht="33">
      <c r="A57" s="236" t="s">
        <v>94</v>
      </c>
      <c r="B57" s="251" t="s">
        <v>403</v>
      </c>
      <c r="C57" s="124"/>
      <c r="D57" s="124"/>
      <c r="E57" s="124"/>
      <c r="F57" s="124"/>
      <c r="G57" s="143"/>
      <c r="H57" s="124"/>
      <c r="I57" s="263">
        <f>SUM(I58:I60)</f>
        <v>11447000000</v>
      </c>
    </row>
    <row r="58" spans="1:11">
      <c r="A58" s="240" t="s">
        <v>3</v>
      </c>
      <c r="B58" s="241" t="s">
        <v>95</v>
      </c>
      <c r="C58" s="124"/>
      <c r="D58" s="124"/>
      <c r="E58" s="124"/>
      <c r="F58" s="124"/>
      <c r="G58" s="143"/>
      <c r="H58" s="124"/>
      <c r="I58" s="144">
        <f>+I312</f>
        <v>28000000</v>
      </c>
    </row>
    <row r="59" spans="1:11" ht="33">
      <c r="A59" s="240" t="s">
        <v>5</v>
      </c>
      <c r="B59" s="241" t="s">
        <v>404</v>
      </c>
      <c r="C59" s="124"/>
      <c r="D59" s="124"/>
      <c r="E59" s="124"/>
      <c r="F59" s="124"/>
      <c r="G59" s="143"/>
      <c r="H59" s="124"/>
      <c r="I59" s="144">
        <f>+I316+I328+I333+I338+I343+I348+I353</f>
        <v>558000000</v>
      </c>
    </row>
    <row r="60" spans="1:11" ht="33">
      <c r="A60" s="240" t="s">
        <v>90</v>
      </c>
      <c r="B60" s="241" t="s">
        <v>405</v>
      </c>
      <c r="C60" s="124"/>
      <c r="D60" s="124"/>
      <c r="E60" s="124"/>
      <c r="F60" s="124"/>
      <c r="G60" s="143"/>
      <c r="H60" s="124"/>
      <c r="I60" s="144">
        <f>+I358</f>
        <v>10861000000</v>
      </c>
    </row>
    <row r="61" spans="1:11" s="145" customFormat="1">
      <c r="A61" s="218" t="s">
        <v>109</v>
      </c>
      <c r="B61" s="224" t="s">
        <v>84</v>
      </c>
      <c r="C61" s="222"/>
      <c r="D61" s="222"/>
      <c r="E61" s="222"/>
      <c r="F61" s="222"/>
      <c r="G61" s="222"/>
      <c r="H61" s="222"/>
      <c r="I61" s="221">
        <f>I62+I309</f>
        <v>107566000000</v>
      </c>
      <c r="J61" s="228"/>
    </row>
    <row r="62" spans="1:11" s="147" customFormat="1">
      <c r="A62" s="218" t="s">
        <v>409</v>
      </c>
      <c r="B62" s="219" t="s">
        <v>450</v>
      </c>
      <c r="C62" s="220"/>
      <c r="D62" s="220"/>
      <c r="E62" s="220"/>
      <c r="F62" s="220"/>
      <c r="G62" s="220"/>
      <c r="H62" s="220"/>
      <c r="I62" s="221">
        <f>+I63+I109+I135+I175+I213+I260+I280+I297</f>
        <v>96119000000</v>
      </c>
      <c r="J62" s="229">
        <v>96119000000</v>
      </c>
      <c r="K62" s="226">
        <f>+J62-I62</f>
        <v>0</v>
      </c>
    </row>
    <row r="63" spans="1:11">
      <c r="A63" s="136" t="s">
        <v>3</v>
      </c>
      <c r="B63" s="137" t="s">
        <v>302</v>
      </c>
      <c r="C63" s="124">
        <v>1030253</v>
      </c>
      <c r="D63" s="124">
        <v>412</v>
      </c>
      <c r="E63" s="124"/>
      <c r="F63" s="124"/>
      <c r="G63" s="124"/>
      <c r="H63" s="124"/>
      <c r="I63" s="144">
        <f>+I64+I94+I99+I106</f>
        <v>13907000000</v>
      </c>
      <c r="J63" s="225">
        <f>+I63+I311</f>
        <v>14438000000</v>
      </c>
      <c r="K63" s="128"/>
    </row>
    <row r="64" spans="1:11">
      <c r="A64" s="136">
        <v>1</v>
      </c>
      <c r="B64" s="137" t="s">
        <v>6</v>
      </c>
      <c r="C64" s="124"/>
      <c r="D64" s="124"/>
      <c r="E64" s="124"/>
      <c r="F64" s="124"/>
      <c r="G64" s="124"/>
      <c r="H64" s="124"/>
      <c r="I64" s="148">
        <f>I65+I74</f>
        <v>9831000000</v>
      </c>
      <c r="K64" s="128"/>
    </row>
    <row r="65" spans="1:11" s="152" customFormat="1" ht="17.25">
      <c r="A65" s="149" t="s">
        <v>8</v>
      </c>
      <c r="B65" s="150" t="s">
        <v>28</v>
      </c>
      <c r="C65" s="124">
        <v>1030253</v>
      </c>
      <c r="D65" s="124">
        <v>412</v>
      </c>
      <c r="E65" s="124">
        <v>341</v>
      </c>
      <c r="F65" s="124">
        <v>13</v>
      </c>
      <c r="G65" s="124"/>
      <c r="H65" s="124">
        <v>200</v>
      </c>
      <c r="I65" s="151">
        <f>I66+I72</f>
        <v>7511000000</v>
      </c>
      <c r="J65" s="230"/>
    </row>
    <row r="66" spans="1:11">
      <c r="A66" s="136" t="s">
        <v>14</v>
      </c>
      <c r="B66" s="153" t="s">
        <v>67</v>
      </c>
      <c r="C66" s="124"/>
      <c r="D66" s="124"/>
      <c r="E66" s="124"/>
      <c r="F66" s="124"/>
      <c r="G66" s="124"/>
      <c r="H66" s="124"/>
      <c r="I66" s="154">
        <f>I67+I70+I71</f>
        <v>6542000000</v>
      </c>
      <c r="K66" s="128"/>
    </row>
    <row r="67" spans="1:11">
      <c r="A67" s="155" t="s">
        <v>96</v>
      </c>
      <c r="B67" s="156" t="s">
        <v>29</v>
      </c>
      <c r="C67" s="126"/>
      <c r="D67" s="126"/>
      <c r="E67" s="126"/>
      <c r="F67" s="126"/>
      <c r="G67" s="126"/>
      <c r="H67" s="126"/>
      <c r="I67" s="157">
        <f>SUM(I68:I69)</f>
        <v>5920000000</v>
      </c>
      <c r="K67" s="128"/>
    </row>
    <row r="68" spans="1:11" ht="33">
      <c r="A68" s="136"/>
      <c r="B68" s="158" t="s">
        <v>30</v>
      </c>
      <c r="C68" s="125"/>
      <c r="D68" s="125"/>
      <c r="E68" s="125"/>
      <c r="F68" s="125"/>
      <c r="G68" s="125"/>
      <c r="H68" s="125"/>
      <c r="I68" s="159">
        <v>4656000000</v>
      </c>
      <c r="K68" s="128"/>
    </row>
    <row r="69" spans="1:11">
      <c r="A69" s="136"/>
      <c r="B69" s="158" t="s">
        <v>10</v>
      </c>
      <c r="C69" s="125"/>
      <c r="D69" s="125"/>
      <c r="E69" s="125"/>
      <c r="F69" s="125"/>
      <c r="G69" s="125"/>
      <c r="H69" s="125"/>
      <c r="I69" s="159">
        <f>1405000000-141000000</f>
        <v>1264000000</v>
      </c>
      <c r="K69" s="128"/>
    </row>
    <row r="70" spans="1:11">
      <c r="A70" s="155" t="s">
        <v>98</v>
      </c>
      <c r="B70" s="156" t="s">
        <v>31</v>
      </c>
      <c r="C70" s="126"/>
      <c r="D70" s="126"/>
      <c r="E70" s="126"/>
      <c r="F70" s="126"/>
      <c r="G70" s="126"/>
      <c r="H70" s="126"/>
      <c r="I70" s="140">
        <f>120000000-12000000</f>
        <v>108000000</v>
      </c>
      <c r="K70" s="128"/>
    </row>
    <row r="71" spans="1:11" ht="36.75" customHeight="1">
      <c r="A71" s="155" t="s">
        <v>97</v>
      </c>
      <c r="B71" s="156" t="s">
        <v>362</v>
      </c>
      <c r="C71" s="126"/>
      <c r="D71" s="126"/>
      <c r="E71" s="126"/>
      <c r="F71" s="126"/>
      <c r="G71" s="126"/>
      <c r="H71" s="126"/>
      <c r="I71" s="140">
        <v>514000000</v>
      </c>
      <c r="K71" s="128"/>
    </row>
    <row r="72" spans="1:11">
      <c r="A72" s="136" t="s">
        <v>15</v>
      </c>
      <c r="B72" s="160" t="s">
        <v>69</v>
      </c>
      <c r="C72" s="124">
        <v>1030253</v>
      </c>
      <c r="D72" s="124">
        <v>412</v>
      </c>
      <c r="E72" s="124">
        <v>341</v>
      </c>
      <c r="F72" s="124">
        <v>14</v>
      </c>
      <c r="G72" s="124"/>
      <c r="H72" s="124">
        <v>200</v>
      </c>
      <c r="I72" s="138">
        <f>I73</f>
        <v>969000000</v>
      </c>
      <c r="K72" s="128"/>
    </row>
    <row r="73" spans="1:11" ht="33">
      <c r="A73" s="136"/>
      <c r="B73" s="156" t="s">
        <v>366</v>
      </c>
      <c r="C73" s="125"/>
      <c r="D73" s="125"/>
      <c r="E73" s="125"/>
      <c r="F73" s="126" t="s">
        <v>339</v>
      </c>
      <c r="G73" s="125"/>
      <c r="H73" s="125">
        <v>200</v>
      </c>
      <c r="I73" s="140">
        <v>969000000</v>
      </c>
      <c r="K73" s="128"/>
    </row>
    <row r="74" spans="1:11" s="152" customFormat="1" ht="17.25">
      <c r="A74" s="149" t="s">
        <v>9</v>
      </c>
      <c r="B74" s="150" t="s">
        <v>32</v>
      </c>
      <c r="C74" s="146"/>
      <c r="D74" s="146"/>
      <c r="E74" s="146"/>
      <c r="F74" s="146"/>
      <c r="G74" s="146"/>
      <c r="H74" s="146"/>
      <c r="I74" s="151">
        <f>+I75</f>
        <v>2320000000</v>
      </c>
      <c r="J74" s="230"/>
    </row>
    <row r="75" spans="1:11">
      <c r="A75" s="136"/>
      <c r="B75" s="153" t="s">
        <v>66</v>
      </c>
      <c r="C75" s="124">
        <v>1030253</v>
      </c>
      <c r="D75" s="124">
        <v>412</v>
      </c>
      <c r="E75" s="124">
        <v>341</v>
      </c>
      <c r="F75" s="124">
        <v>12</v>
      </c>
      <c r="G75" s="124"/>
      <c r="H75" s="124">
        <v>200</v>
      </c>
      <c r="I75" s="154">
        <f>+I76+I77</f>
        <v>2320000000</v>
      </c>
      <c r="K75" s="128"/>
    </row>
    <row r="76" spans="1:11" ht="20.100000000000001" customHeight="1">
      <c r="A76" s="155" t="s">
        <v>14</v>
      </c>
      <c r="B76" s="161" t="s">
        <v>33</v>
      </c>
      <c r="C76" s="162"/>
      <c r="D76" s="162"/>
      <c r="E76" s="162"/>
      <c r="F76" s="162"/>
      <c r="G76" s="162"/>
      <c r="H76" s="162"/>
      <c r="I76" s="157">
        <v>105000000</v>
      </c>
      <c r="K76" s="128"/>
    </row>
    <row r="77" spans="1:11" ht="20.100000000000001" customHeight="1">
      <c r="A77" s="155" t="s">
        <v>15</v>
      </c>
      <c r="B77" s="161" t="s">
        <v>419</v>
      </c>
      <c r="C77" s="162"/>
      <c r="D77" s="162"/>
      <c r="E77" s="162"/>
      <c r="F77" s="162"/>
      <c r="G77" s="162"/>
      <c r="H77" s="162"/>
      <c r="I77" s="127">
        <f>SUM(I78:I93)</f>
        <v>2215000000</v>
      </c>
      <c r="K77" s="128"/>
    </row>
    <row r="78" spans="1:11" s="141" customFormat="1" ht="33">
      <c r="A78" s="149"/>
      <c r="B78" s="163" t="s">
        <v>420</v>
      </c>
      <c r="C78" s="164"/>
      <c r="D78" s="164"/>
      <c r="E78" s="164"/>
      <c r="F78" s="164"/>
      <c r="G78" s="164"/>
      <c r="H78" s="164"/>
      <c r="I78" s="165">
        <v>20000000</v>
      </c>
      <c r="J78" s="227"/>
    </row>
    <row r="79" spans="1:11" s="141" customFormat="1" ht="17.25">
      <c r="A79" s="149"/>
      <c r="B79" s="163" t="s">
        <v>421</v>
      </c>
      <c r="C79" s="164"/>
      <c r="D79" s="164"/>
      <c r="E79" s="164"/>
      <c r="F79" s="164"/>
      <c r="G79" s="164"/>
      <c r="H79" s="164"/>
      <c r="I79" s="165">
        <v>90000000</v>
      </c>
      <c r="J79" s="227"/>
    </row>
    <row r="80" spans="1:11" s="141" customFormat="1" ht="17.25">
      <c r="A80" s="149"/>
      <c r="B80" s="163" t="s">
        <v>422</v>
      </c>
      <c r="C80" s="164"/>
      <c r="D80" s="164"/>
      <c r="E80" s="164"/>
      <c r="F80" s="164"/>
      <c r="G80" s="164"/>
      <c r="H80" s="164"/>
      <c r="I80" s="165">
        <v>22000000</v>
      </c>
      <c r="J80" s="227"/>
    </row>
    <row r="81" spans="1:11" s="141" customFormat="1" ht="17.25">
      <c r="A81" s="149"/>
      <c r="B81" s="163" t="s">
        <v>423</v>
      </c>
      <c r="C81" s="164"/>
      <c r="D81" s="164"/>
      <c r="E81" s="164"/>
      <c r="F81" s="164"/>
      <c r="G81" s="164"/>
      <c r="H81" s="164"/>
      <c r="I81" s="165">
        <v>50000000</v>
      </c>
      <c r="J81" s="227"/>
    </row>
    <row r="82" spans="1:11" s="141" customFormat="1" ht="17.25">
      <c r="A82" s="149"/>
      <c r="B82" s="163" t="s">
        <v>424</v>
      </c>
      <c r="C82" s="164"/>
      <c r="D82" s="164"/>
      <c r="E82" s="164"/>
      <c r="F82" s="164"/>
      <c r="G82" s="164"/>
      <c r="H82" s="164"/>
      <c r="I82" s="165">
        <v>10000000</v>
      </c>
      <c r="J82" s="227"/>
    </row>
    <row r="83" spans="1:11" s="141" customFormat="1" ht="17.25">
      <c r="A83" s="149"/>
      <c r="B83" s="163" t="s">
        <v>425</v>
      </c>
      <c r="C83" s="164"/>
      <c r="D83" s="164"/>
      <c r="E83" s="164"/>
      <c r="F83" s="164"/>
      <c r="G83" s="164"/>
      <c r="H83" s="164"/>
      <c r="I83" s="165">
        <v>36000000</v>
      </c>
      <c r="J83" s="227"/>
    </row>
    <row r="84" spans="1:11" s="141" customFormat="1" ht="17.25">
      <c r="A84" s="149"/>
      <c r="B84" s="163" t="s">
        <v>426</v>
      </c>
      <c r="C84" s="164"/>
      <c r="D84" s="164"/>
      <c r="E84" s="164"/>
      <c r="F84" s="164"/>
      <c r="G84" s="164"/>
      <c r="H84" s="164"/>
      <c r="I84" s="165">
        <v>558000000</v>
      </c>
      <c r="J84" s="227"/>
    </row>
    <row r="85" spans="1:11" s="141" customFormat="1" ht="17.25">
      <c r="A85" s="149"/>
      <c r="B85" s="158" t="s">
        <v>427</v>
      </c>
      <c r="C85" s="166"/>
      <c r="D85" s="166"/>
      <c r="E85" s="166"/>
      <c r="F85" s="166"/>
      <c r="G85" s="166"/>
      <c r="H85" s="166"/>
      <c r="I85" s="165">
        <v>54000000</v>
      </c>
      <c r="J85" s="227"/>
    </row>
    <row r="86" spans="1:11" s="141" customFormat="1" ht="49.5">
      <c r="A86" s="149"/>
      <c r="B86" s="158" t="s">
        <v>428</v>
      </c>
      <c r="C86" s="166"/>
      <c r="D86" s="166"/>
      <c r="E86" s="166"/>
      <c r="F86" s="166"/>
      <c r="G86" s="166"/>
      <c r="H86" s="166"/>
      <c r="I86" s="165">
        <v>54000000</v>
      </c>
      <c r="J86" s="227"/>
    </row>
    <row r="87" spans="1:11" s="141" customFormat="1" ht="17.25">
      <c r="A87" s="149"/>
      <c r="B87" s="158" t="s">
        <v>429</v>
      </c>
      <c r="C87" s="166"/>
      <c r="D87" s="166"/>
      <c r="E87" s="166"/>
      <c r="F87" s="166"/>
      <c r="G87" s="166"/>
      <c r="H87" s="166"/>
      <c r="I87" s="165">
        <v>45000000</v>
      </c>
      <c r="J87" s="227"/>
    </row>
    <row r="88" spans="1:11" s="141" customFormat="1" ht="17.25">
      <c r="A88" s="149"/>
      <c r="B88" s="158" t="s">
        <v>430</v>
      </c>
      <c r="C88" s="166"/>
      <c r="D88" s="166"/>
      <c r="E88" s="166"/>
      <c r="F88" s="166"/>
      <c r="G88" s="166"/>
      <c r="H88" s="166"/>
      <c r="I88" s="165">
        <v>10000000</v>
      </c>
      <c r="J88" s="227"/>
    </row>
    <row r="89" spans="1:11" s="141" customFormat="1" ht="33.75" customHeight="1">
      <c r="A89" s="149"/>
      <c r="B89" s="158" t="s">
        <v>431</v>
      </c>
      <c r="C89" s="166"/>
      <c r="D89" s="166"/>
      <c r="E89" s="166"/>
      <c r="F89" s="166"/>
      <c r="G89" s="166"/>
      <c r="H89" s="166"/>
      <c r="I89" s="165">
        <v>25000000</v>
      </c>
      <c r="J89" s="227"/>
    </row>
    <row r="90" spans="1:11" s="141" customFormat="1" ht="49.5">
      <c r="A90" s="149"/>
      <c r="B90" s="158" t="s">
        <v>432</v>
      </c>
      <c r="C90" s="166"/>
      <c r="D90" s="166"/>
      <c r="E90" s="166"/>
      <c r="F90" s="166"/>
      <c r="G90" s="166"/>
      <c r="H90" s="166"/>
      <c r="I90" s="165">
        <v>25000000</v>
      </c>
      <c r="J90" s="227"/>
    </row>
    <row r="91" spans="1:11" s="141" customFormat="1" ht="17.25">
      <c r="A91" s="149"/>
      <c r="B91" s="158" t="s">
        <v>433</v>
      </c>
      <c r="C91" s="166"/>
      <c r="D91" s="166"/>
      <c r="E91" s="166"/>
      <c r="F91" s="166"/>
      <c r="G91" s="166"/>
      <c r="H91" s="166"/>
      <c r="I91" s="165">
        <v>131000000</v>
      </c>
      <c r="J91" s="227"/>
    </row>
    <row r="92" spans="1:11" s="141" customFormat="1" ht="33">
      <c r="A92" s="149"/>
      <c r="B92" s="158" t="s">
        <v>434</v>
      </c>
      <c r="C92" s="166"/>
      <c r="D92" s="166"/>
      <c r="E92" s="166"/>
      <c r="F92" s="166"/>
      <c r="G92" s="166"/>
      <c r="H92" s="166"/>
      <c r="I92" s="165">
        <v>20000000</v>
      </c>
      <c r="J92" s="227"/>
    </row>
    <row r="93" spans="1:11" s="141" customFormat="1" ht="17.25">
      <c r="A93" s="149"/>
      <c r="B93" s="185" t="s">
        <v>435</v>
      </c>
      <c r="C93" s="166"/>
      <c r="D93" s="166"/>
      <c r="E93" s="166"/>
      <c r="F93" s="166"/>
      <c r="G93" s="166"/>
      <c r="H93" s="166"/>
      <c r="I93" s="165">
        <v>1065000000</v>
      </c>
      <c r="J93" s="227"/>
    </row>
    <row r="94" spans="1:11" ht="33">
      <c r="A94" s="136">
        <v>2</v>
      </c>
      <c r="B94" s="137" t="s">
        <v>457</v>
      </c>
      <c r="C94" s="143" t="s">
        <v>340</v>
      </c>
      <c r="D94" s="143">
        <v>412</v>
      </c>
      <c r="E94" s="143">
        <v>280</v>
      </c>
      <c r="F94" s="143">
        <v>12</v>
      </c>
      <c r="G94" s="124"/>
      <c r="H94" s="124"/>
      <c r="I94" s="148">
        <f>I95+I97</f>
        <v>2800000000</v>
      </c>
      <c r="K94" s="128"/>
    </row>
    <row r="95" spans="1:11">
      <c r="A95" s="136" t="s">
        <v>12</v>
      </c>
      <c r="B95" s="137" t="s">
        <v>99</v>
      </c>
      <c r="C95" s="124"/>
      <c r="D95" s="124"/>
      <c r="E95" s="124">
        <v>281</v>
      </c>
      <c r="F95" s="124">
        <v>12</v>
      </c>
      <c r="G95" s="124"/>
      <c r="H95" s="124">
        <v>200</v>
      </c>
      <c r="I95" s="148">
        <f>I96</f>
        <v>2400000000</v>
      </c>
      <c r="K95" s="128"/>
    </row>
    <row r="96" spans="1:11" ht="24.75" customHeight="1">
      <c r="A96" s="136"/>
      <c r="B96" s="161" t="s">
        <v>436</v>
      </c>
      <c r="C96" s="162"/>
      <c r="D96" s="162"/>
      <c r="E96" s="162"/>
      <c r="F96" s="162"/>
      <c r="G96" s="162"/>
      <c r="H96" s="162"/>
      <c r="I96" s="127">
        <v>2400000000</v>
      </c>
      <c r="K96" s="128"/>
    </row>
    <row r="97" spans="1:11" ht="20.100000000000001" customHeight="1">
      <c r="A97" s="136" t="s">
        <v>13</v>
      </c>
      <c r="B97" s="192" t="s">
        <v>93</v>
      </c>
      <c r="C97" s="168"/>
      <c r="D97" s="168"/>
      <c r="E97" s="169">
        <v>321</v>
      </c>
      <c r="F97" s="169">
        <v>12</v>
      </c>
      <c r="G97" s="169"/>
      <c r="H97" s="169">
        <v>200</v>
      </c>
      <c r="I97" s="183">
        <f>I98</f>
        <v>400000000</v>
      </c>
      <c r="K97" s="128"/>
    </row>
    <row r="98" spans="1:11" ht="20.100000000000001" customHeight="1">
      <c r="A98" s="136"/>
      <c r="B98" s="161" t="s">
        <v>437</v>
      </c>
      <c r="C98" s="162"/>
      <c r="D98" s="162"/>
      <c r="E98" s="162"/>
      <c r="F98" s="162"/>
      <c r="G98" s="162"/>
      <c r="H98" s="162"/>
      <c r="I98" s="127">
        <v>400000000</v>
      </c>
      <c r="K98" s="128"/>
    </row>
    <row r="99" spans="1:11" s="145" customFormat="1" ht="39" customHeight="1">
      <c r="A99" s="136">
        <v>3</v>
      </c>
      <c r="B99" s="189" t="s">
        <v>455</v>
      </c>
      <c r="C99" s="143" t="s">
        <v>340</v>
      </c>
      <c r="D99" s="143">
        <v>412</v>
      </c>
      <c r="E99" s="169" t="s">
        <v>378</v>
      </c>
      <c r="F99" s="169"/>
      <c r="G99" s="169"/>
      <c r="H99" s="169"/>
      <c r="I99" s="183">
        <f>+I100</f>
        <v>1026000000</v>
      </c>
      <c r="J99" s="228"/>
    </row>
    <row r="100" spans="1:11" s="145" customFormat="1" ht="20.100000000000001" customHeight="1">
      <c r="A100" s="136"/>
      <c r="B100" s="189" t="s">
        <v>347</v>
      </c>
      <c r="C100" s="169"/>
      <c r="D100" s="169"/>
      <c r="E100" s="169" t="s">
        <v>348</v>
      </c>
      <c r="F100" s="169">
        <v>12</v>
      </c>
      <c r="G100" s="169"/>
      <c r="H100" s="169">
        <v>200</v>
      </c>
      <c r="I100" s="183">
        <f>+SUM(I101:I103)</f>
        <v>1026000000</v>
      </c>
      <c r="J100" s="228"/>
    </row>
    <row r="101" spans="1:11" s="145" customFormat="1" ht="37.5" customHeight="1">
      <c r="A101" s="155" t="s">
        <v>14</v>
      </c>
      <c r="B101" s="161" t="s">
        <v>382</v>
      </c>
      <c r="C101" s="169"/>
      <c r="D101" s="169"/>
      <c r="E101" s="169"/>
      <c r="F101" s="169"/>
      <c r="G101" s="169"/>
      <c r="H101" s="169"/>
      <c r="I101" s="127">
        <v>749000000</v>
      </c>
      <c r="J101" s="228"/>
    </row>
    <row r="102" spans="1:11" s="145" customFormat="1" ht="42" customHeight="1">
      <c r="A102" s="155" t="s">
        <v>15</v>
      </c>
      <c r="B102" s="161" t="s">
        <v>383</v>
      </c>
      <c r="C102" s="169"/>
      <c r="D102" s="169"/>
      <c r="E102" s="169"/>
      <c r="F102" s="169"/>
      <c r="G102" s="169"/>
      <c r="H102" s="169"/>
      <c r="I102" s="127">
        <v>273000000</v>
      </c>
      <c r="J102" s="228"/>
    </row>
    <row r="103" spans="1:11" ht="23.25" customHeight="1">
      <c r="A103" s="155" t="s">
        <v>24</v>
      </c>
      <c r="B103" s="161" t="s">
        <v>384</v>
      </c>
      <c r="C103" s="162"/>
      <c r="D103" s="162"/>
      <c r="E103" s="162"/>
      <c r="F103" s="162"/>
      <c r="G103" s="162" t="s">
        <v>172</v>
      </c>
      <c r="H103" s="162">
        <v>200</v>
      </c>
      <c r="I103" s="127">
        <f>+I104</f>
        <v>4000000</v>
      </c>
      <c r="K103" s="128"/>
    </row>
    <row r="104" spans="1:11" ht="23.25" customHeight="1">
      <c r="A104" s="136"/>
      <c r="B104" s="235" t="s">
        <v>386</v>
      </c>
      <c r="C104" s="162"/>
      <c r="D104" s="162"/>
      <c r="E104" s="162"/>
      <c r="F104" s="162"/>
      <c r="G104" s="162"/>
      <c r="H104" s="162"/>
      <c r="I104" s="127">
        <f>+I105</f>
        <v>4000000</v>
      </c>
      <c r="K104" s="128"/>
    </row>
    <row r="105" spans="1:11" ht="23.25" customHeight="1">
      <c r="A105" s="136"/>
      <c r="B105" s="235" t="s">
        <v>387</v>
      </c>
      <c r="C105" s="162"/>
      <c r="D105" s="162"/>
      <c r="E105" s="162"/>
      <c r="F105" s="162"/>
      <c r="G105" s="162"/>
      <c r="H105" s="162"/>
      <c r="I105" s="127">
        <v>4000000</v>
      </c>
      <c r="K105" s="128"/>
    </row>
    <row r="106" spans="1:11" s="145" customFormat="1" ht="20.100000000000001" customHeight="1">
      <c r="A106" s="136">
        <v>4</v>
      </c>
      <c r="B106" s="189" t="s">
        <v>456</v>
      </c>
      <c r="C106" s="143" t="s">
        <v>340</v>
      </c>
      <c r="D106" s="143">
        <v>412</v>
      </c>
      <c r="E106" s="169">
        <v>100</v>
      </c>
      <c r="F106" s="169"/>
      <c r="G106" s="169"/>
      <c r="H106" s="169"/>
      <c r="I106" s="183">
        <f>+I107</f>
        <v>250000000</v>
      </c>
      <c r="J106" s="228"/>
    </row>
    <row r="107" spans="1:11" s="145" customFormat="1" ht="20.100000000000001" customHeight="1">
      <c r="A107" s="136"/>
      <c r="B107" s="189" t="s">
        <v>347</v>
      </c>
      <c r="C107" s="169"/>
      <c r="D107" s="169"/>
      <c r="E107" s="169">
        <v>101</v>
      </c>
      <c r="F107" s="169">
        <v>12</v>
      </c>
      <c r="G107" s="169"/>
      <c r="H107" s="169">
        <v>200</v>
      </c>
      <c r="I107" s="183">
        <f>+I108</f>
        <v>250000000</v>
      </c>
      <c r="J107" s="228"/>
    </row>
    <row r="108" spans="1:11" ht="60.75" customHeight="1">
      <c r="A108" s="136"/>
      <c r="B108" s="161" t="s">
        <v>451</v>
      </c>
      <c r="C108" s="162"/>
      <c r="D108" s="162"/>
      <c r="E108" s="162"/>
      <c r="F108" s="162"/>
      <c r="G108" s="162"/>
      <c r="H108" s="162"/>
      <c r="I108" s="127">
        <v>250000000</v>
      </c>
      <c r="K108" s="128"/>
    </row>
    <row r="109" spans="1:11">
      <c r="A109" s="205" t="s">
        <v>5</v>
      </c>
      <c r="B109" s="206" t="s">
        <v>303</v>
      </c>
      <c r="C109" s="207">
        <v>1029501</v>
      </c>
      <c r="D109" s="207">
        <v>412</v>
      </c>
      <c r="E109" s="207"/>
      <c r="F109" s="207"/>
      <c r="G109" s="207"/>
      <c r="H109" s="207"/>
      <c r="I109" s="208">
        <f>+I110+I129+I133</f>
        <v>7300000000</v>
      </c>
      <c r="J109" s="225">
        <f>+I109+5000000</f>
        <v>7305000000</v>
      </c>
      <c r="K109" s="128"/>
    </row>
    <row r="110" spans="1:11">
      <c r="A110" s="136">
        <v>1</v>
      </c>
      <c r="B110" s="137" t="s">
        <v>6</v>
      </c>
      <c r="C110" s="124"/>
      <c r="D110" s="124"/>
      <c r="E110" s="124"/>
      <c r="F110" s="124"/>
      <c r="G110" s="124"/>
      <c r="H110" s="124"/>
      <c r="I110" s="148">
        <f>I111+I119</f>
        <v>3650000000</v>
      </c>
      <c r="K110" s="128"/>
    </row>
    <row r="111" spans="1:11" s="171" customFormat="1" ht="21.6" customHeight="1">
      <c r="A111" s="136" t="s">
        <v>8</v>
      </c>
      <c r="B111" s="153" t="s">
        <v>7</v>
      </c>
      <c r="C111" s="124"/>
      <c r="D111" s="124"/>
      <c r="E111" s="124"/>
      <c r="F111" s="124"/>
      <c r="G111" s="124"/>
      <c r="H111" s="124"/>
      <c r="I111" s="154">
        <f>I112+I117</f>
        <v>2440000000</v>
      </c>
      <c r="J111" s="231"/>
    </row>
    <row r="112" spans="1:11" s="141" customFormat="1" ht="21.6" customHeight="1">
      <c r="A112" s="149" t="s">
        <v>14</v>
      </c>
      <c r="B112" s="150" t="s">
        <v>67</v>
      </c>
      <c r="C112" s="124">
        <v>1029501</v>
      </c>
      <c r="D112" s="124">
        <v>412</v>
      </c>
      <c r="E112" s="124">
        <v>341</v>
      </c>
      <c r="F112" s="124">
        <v>13</v>
      </c>
      <c r="G112" s="124"/>
      <c r="H112" s="124">
        <v>200</v>
      </c>
      <c r="I112" s="151">
        <f>I113+I116</f>
        <v>2136000000</v>
      </c>
      <c r="J112" s="227"/>
    </row>
    <row r="113" spans="1:11">
      <c r="A113" s="155" t="s">
        <v>96</v>
      </c>
      <c r="B113" s="156" t="s">
        <v>29</v>
      </c>
      <c r="C113" s="126"/>
      <c r="D113" s="126"/>
      <c r="E113" s="126"/>
      <c r="F113" s="126"/>
      <c r="G113" s="126"/>
      <c r="H113" s="126"/>
      <c r="I113" s="157">
        <f>I114+I115</f>
        <v>1962000000</v>
      </c>
      <c r="K113" s="128"/>
    </row>
    <row r="114" spans="1:11" ht="33">
      <c r="A114" s="155"/>
      <c r="B114" s="158" t="s">
        <v>35</v>
      </c>
      <c r="C114" s="125"/>
      <c r="D114" s="125"/>
      <c r="E114" s="125"/>
      <c r="F114" s="125"/>
      <c r="G114" s="125"/>
      <c r="H114" s="125"/>
      <c r="I114" s="159">
        <v>1460000000</v>
      </c>
      <c r="K114" s="128"/>
    </row>
    <row r="115" spans="1:11">
      <c r="A115" s="155"/>
      <c r="B115" s="158" t="s">
        <v>10</v>
      </c>
      <c r="C115" s="125"/>
      <c r="D115" s="125"/>
      <c r="E115" s="125"/>
      <c r="F115" s="125"/>
      <c r="G115" s="125"/>
      <c r="H115" s="125"/>
      <c r="I115" s="159">
        <v>502000000</v>
      </c>
      <c r="K115" s="128"/>
    </row>
    <row r="116" spans="1:11" ht="33">
      <c r="A116" s="155" t="s">
        <v>98</v>
      </c>
      <c r="B116" s="156" t="s">
        <v>349</v>
      </c>
      <c r="C116" s="126"/>
      <c r="D116" s="126"/>
      <c r="E116" s="126"/>
      <c r="F116" s="126"/>
      <c r="G116" s="126"/>
      <c r="H116" s="126"/>
      <c r="I116" s="140">
        <v>174000000</v>
      </c>
      <c r="K116" s="128"/>
    </row>
    <row r="117" spans="1:11" s="174" customFormat="1" ht="17.25">
      <c r="A117" s="149" t="s">
        <v>15</v>
      </c>
      <c r="B117" s="172" t="s">
        <v>69</v>
      </c>
      <c r="C117" s="124">
        <v>1029501</v>
      </c>
      <c r="D117" s="124">
        <v>412</v>
      </c>
      <c r="E117" s="124">
        <v>341</v>
      </c>
      <c r="F117" s="124">
        <v>14</v>
      </c>
      <c r="G117" s="124"/>
      <c r="H117" s="124">
        <v>200</v>
      </c>
      <c r="I117" s="173">
        <f>I118</f>
        <v>304000000</v>
      </c>
      <c r="J117" s="232"/>
    </row>
    <row r="118" spans="1:11" ht="33">
      <c r="A118" s="136"/>
      <c r="B118" s="156" t="s">
        <v>365</v>
      </c>
      <c r="C118" s="126"/>
      <c r="D118" s="126"/>
      <c r="E118" s="126"/>
      <c r="F118" s="126" t="s">
        <v>339</v>
      </c>
      <c r="G118" s="126"/>
      <c r="H118" s="126">
        <v>200</v>
      </c>
      <c r="I118" s="159">
        <v>304000000</v>
      </c>
      <c r="K118" s="128"/>
    </row>
    <row r="119" spans="1:11" s="171" customFormat="1">
      <c r="A119" s="136" t="s">
        <v>9</v>
      </c>
      <c r="B119" s="153" t="s">
        <v>32</v>
      </c>
      <c r="C119" s="124"/>
      <c r="D119" s="124"/>
      <c r="E119" s="124"/>
      <c r="F119" s="124"/>
      <c r="G119" s="124"/>
      <c r="H119" s="124"/>
      <c r="I119" s="154">
        <f>I120+I127</f>
        <v>1210000000</v>
      </c>
      <c r="J119" s="231"/>
    </row>
    <row r="120" spans="1:11" s="141" customFormat="1" ht="17.25">
      <c r="A120" s="149" t="s">
        <v>14</v>
      </c>
      <c r="B120" s="150" t="s">
        <v>66</v>
      </c>
      <c r="C120" s="124">
        <v>1029501</v>
      </c>
      <c r="D120" s="124">
        <v>412</v>
      </c>
      <c r="E120" s="124">
        <v>341</v>
      </c>
      <c r="F120" s="124">
        <v>12</v>
      </c>
      <c r="G120" s="124"/>
      <c r="H120" s="124">
        <v>200</v>
      </c>
      <c r="I120" s="151">
        <f>+I121+I122</f>
        <v>1210000000</v>
      </c>
      <c r="J120" s="227"/>
    </row>
    <row r="121" spans="1:11" ht="21.6" customHeight="1">
      <c r="A121" s="155" t="s">
        <v>96</v>
      </c>
      <c r="B121" s="156" t="s">
        <v>36</v>
      </c>
      <c r="C121" s="126"/>
      <c r="D121" s="126"/>
      <c r="E121" s="126"/>
      <c r="F121" s="126"/>
      <c r="G121" s="126"/>
      <c r="H121" s="126"/>
      <c r="I121" s="175">
        <v>54000000</v>
      </c>
      <c r="K121" s="128"/>
    </row>
    <row r="122" spans="1:11" ht="21.6" customHeight="1">
      <c r="A122" s="155" t="s">
        <v>98</v>
      </c>
      <c r="B122" s="254" t="s">
        <v>419</v>
      </c>
      <c r="C122" s="162"/>
      <c r="D122" s="162"/>
      <c r="E122" s="162"/>
      <c r="F122" s="162"/>
      <c r="G122" s="162"/>
      <c r="H122" s="162"/>
      <c r="I122" s="175">
        <f>SUM(I123:I126)</f>
        <v>1156000000</v>
      </c>
      <c r="K122" s="128"/>
    </row>
    <row r="123" spans="1:11" ht="33">
      <c r="A123" s="136"/>
      <c r="B123" s="158" t="s">
        <v>438</v>
      </c>
      <c r="C123" s="125"/>
      <c r="D123" s="125"/>
      <c r="E123" s="125"/>
      <c r="F123" s="125"/>
      <c r="G123" s="125"/>
      <c r="H123" s="125"/>
      <c r="I123" s="176">
        <v>10000000</v>
      </c>
      <c r="K123" s="128"/>
    </row>
    <row r="124" spans="1:11" ht="19.5" customHeight="1">
      <c r="A124" s="136"/>
      <c r="B124" s="158" t="s">
        <v>424</v>
      </c>
      <c r="C124" s="125"/>
      <c r="D124" s="125"/>
      <c r="E124" s="125"/>
      <c r="F124" s="125"/>
      <c r="G124" s="125"/>
      <c r="H124" s="125"/>
      <c r="I124" s="176">
        <v>10000000</v>
      </c>
      <c r="K124" s="128"/>
    </row>
    <row r="125" spans="1:11">
      <c r="A125" s="136"/>
      <c r="B125" s="158" t="s">
        <v>435</v>
      </c>
      <c r="C125" s="125"/>
      <c r="D125" s="125"/>
      <c r="E125" s="125"/>
      <c r="F125" s="125"/>
      <c r="G125" s="125"/>
      <c r="H125" s="125"/>
      <c r="I125" s="176">
        <v>1065000000</v>
      </c>
      <c r="K125" s="128"/>
    </row>
    <row r="126" spans="1:11" ht="33">
      <c r="A126" s="155"/>
      <c r="B126" s="185" t="s">
        <v>439</v>
      </c>
      <c r="C126" s="125"/>
      <c r="D126" s="125"/>
      <c r="E126" s="125"/>
      <c r="F126" s="125"/>
      <c r="G126" s="125"/>
      <c r="H126" s="125"/>
      <c r="I126" s="176">
        <v>71000000</v>
      </c>
      <c r="K126" s="128"/>
    </row>
    <row r="127" spans="1:11" s="141" customFormat="1" ht="17.25">
      <c r="A127" s="149" t="s">
        <v>15</v>
      </c>
      <c r="B127" s="172" t="s">
        <v>70</v>
      </c>
      <c r="C127" s="124">
        <v>1029501</v>
      </c>
      <c r="D127" s="124">
        <v>412</v>
      </c>
      <c r="E127" s="124">
        <v>341</v>
      </c>
      <c r="F127" s="124">
        <v>14</v>
      </c>
      <c r="G127" s="124"/>
      <c r="H127" s="124">
        <v>200</v>
      </c>
      <c r="I127" s="177">
        <f>I128</f>
        <v>0</v>
      </c>
      <c r="J127" s="227"/>
    </row>
    <row r="128" spans="1:11" s="212" customFormat="1" ht="36.75" customHeight="1">
      <c r="A128" s="205"/>
      <c r="B128" s="209" t="s">
        <v>365</v>
      </c>
      <c r="C128" s="210"/>
      <c r="D128" s="210"/>
      <c r="E128" s="210"/>
      <c r="F128" s="210" t="s">
        <v>341</v>
      </c>
      <c r="G128" s="210"/>
      <c r="H128" s="210">
        <v>200</v>
      </c>
      <c r="I128" s="211"/>
      <c r="J128" s="233"/>
    </row>
    <row r="129" spans="1:11" ht="19.5" customHeight="1">
      <c r="A129" s="136">
        <v>2</v>
      </c>
      <c r="B129" s="137" t="s">
        <v>92</v>
      </c>
      <c r="C129" s="124">
        <v>1029501</v>
      </c>
      <c r="D129" s="124">
        <v>412</v>
      </c>
      <c r="E129" s="124">
        <v>280</v>
      </c>
      <c r="F129" s="124">
        <v>12</v>
      </c>
      <c r="G129" s="124"/>
      <c r="H129" s="124">
        <v>200</v>
      </c>
      <c r="I129" s="148">
        <f>I130</f>
        <v>650000000</v>
      </c>
      <c r="K129" s="128"/>
    </row>
    <row r="130" spans="1:11" s="141" customFormat="1" ht="39.75" customHeight="1">
      <c r="A130" s="149"/>
      <c r="B130" s="150" t="s">
        <v>458</v>
      </c>
      <c r="C130" s="124"/>
      <c r="D130" s="124"/>
      <c r="E130" s="124">
        <v>283</v>
      </c>
      <c r="F130" s="124">
        <v>12</v>
      </c>
      <c r="G130" s="124"/>
      <c r="H130" s="124">
        <v>200</v>
      </c>
      <c r="I130" s="151">
        <f>I131+I132</f>
        <v>650000000</v>
      </c>
      <c r="J130" s="227"/>
    </row>
    <row r="131" spans="1:11" ht="38.25" customHeight="1">
      <c r="A131" s="155" t="s">
        <v>14</v>
      </c>
      <c r="B131" s="142" t="s">
        <v>459</v>
      </c>
      <c r="C131" s="125"/>
      <c r="D131" s="125"/>
      <c r="E131" s="125"/>
      <c r="F131" s="125"/>
      <c r="G131" s="125"/>
      <c r="H131" s="125"/>
      <c r="I131" s="157">
        <v>350000000</v>
      </c>
      <c r="K131" s="128"/>
    </row>
    <row r="132" spans="1:11" ht="33">
      <c r="A132" s="155" t="s">
        <v>15</v>
      </c>
      <c r="B132" s="142" t="s">
        <v>460</v>
      </c>
      <c r="C132" s="125"/>
      <c r="D132" s="125"/>
      <c r="E132" s="125"/>
      <c r="F132" s="125"/>
      <c r="G132" s="125"/>
      <c r="H132" s="125"/>
      <c r="I132" s="157">
        <v>300000000</v>
      </c>
      <c r="K132" s="128"/>
    </row>
    <row r="133" spans="1:11" ht="42" customHeight="1">
      <c r="A133" s="136">
        <v>3</v>
      </c>
      <c r="B133" s="137" t="s">
        <v>468</v>
      </c>
      <c r="C133" s="124">
        <v>1029501</v>
      </c>
      <c r="D133" s="124">
        <v>412</v>
      </c>
      <c r="E133" s="124">
        <v>250</v>
      </c>
      <c r="F133" s="124">
        <v>12</v>
      </c>
      <c r="G133" s="124"/>
      <c r="H133" s="124">
        <v>200</v>
      </c>
      <c r="I133" s="148">
        <f>+I134</f>
        <v>3000000000</v>
      </c>
      <c r="K133" s="128"/>
    </row>
    <row r="134" spans="1:11" ht="49.5">
      <c r="A134" s="155"/>
      <c r="B134" s="156" t="s">
        <v>100</v>
      </c>
      <c r="C134" s="126"/>
      <c r="D134" s="126"/>
      <c r="E134" s="126">
        <v>278</v>
      </c>
      <c r="F134" s="126">
        <v>12</v>
      </c>
      <c r="G134" s="126"/>
      <c r="H134" s="126">
        <v>200</v>
      </c>
      <c r="I134" s="157">
        <v>3000000000</v>
      </c>
      <c r="K134" s="128"/>
    </row>
    <row r="135" spans="1:11">
      <c r="A135" s="205" t="s">
        <v>90</v>
      </c>
      <c r="B135" s="206" t="s">
        <v>304</v>
      </c>
      <c r="C135" s="207">
        <v>1029499</v>
      </c>
      <c r="D135" s="207">
        <v>412</v>
      </c>
      <c r="E135" s="207"/>
      <c r="F135" s="207"/>
      <c r="G135" s="207"/>
      <c r="H135" s="207"/>
      <c r="I135" s="208">
        <f>I136+I159</f>
        <v>17918000000</v>
      </c>
      <c r="J135" s="225">
        <f>I135+10000000</f>
        <v>17928000000</v>
      </c>
      <c r="K135" s="128"/>
    </row>
    <row r="136" spans="1:11">
      <c r="A136" s="136">
        <v>1</v>
      </c>
      <c r="B136" s="137" t="s">
        <v>6</v>
      </c>
      <c r="C136" s="124"/>
      <c r="D136" s="124"/>
      <c r="E136" s="124"/>
      <c r="F136" s="124"/>
      <c r="G136" s="124"/>
      <c r="H136" s="124"/>
      <c r="I136" s="148">
        <f>I137+I146</f>
        <v>14163000000</v>
      </c>
      <c r="K136" s="128"/>
    </row>
    <row r="137" spans="1:11" ht="21.6" customHeight="1">
      <c r="A137" s="136" t="s">
        <v>8</v>
      </c>
      <c r="B137" s="153" t="s">
        <v>7</v>
      </c>
      <c r="C137" s="124"/>
      <c r="D137" s="124"/>
      <c r="E137" s="124"/>
      <c r="F137" s="124"/>
      <c r="G137" s="124"/>
      <c r="H137" s="124"/>
      <c r="I137" s="154">
        <f>I138+I144</f>
        <v>12438000000</v>
      </c>
      <c r="K137" s="128"/>
    </row>
    <row r="138" spans="1:11" ht="21.6" customHeight="1">
      <c r="A138" s="136" t="s">
        <v>14</v>
      </c>
      <c r="B138" s="153" t="s">
        <v>67</v>
      </c>
      <c r="C138" s="124">
        <v>1029499</v>
      </c>
      <c r="D138" s="124">
        <v>412</v>
      </c>
      <c r="E138" s="124">
        <v>341</v>
      </c>
      <c r="F138" s="124">
        <v>13</v>
      </c>
      <c r="G138" s="124"/>
      <c r="H138" s="124">
        <v>200</v>
      </c>
      <c r="I138" s="154">
        <f>I139+I143+I142</f>
        <v>10768000000</v>
      </c>
      <c r="K138" s="128"/>
    </row>
    <row r="139" spans="1:11" ht="21.75" customHeight="1">
      <c r="A139" s="155" t="s">
        <v>96</v>
      </c>
      <c r="B139" s="156" t="s">
        <v>29</v>
      </c>
      <c r="C139" s="126"/>
      <c r="D139" s="126"/>
      <c r="E139" s="126"/>
      <c r="F139" s="126"/>
      <c r="G139" s="126"/>
      <c r="H139" s="126"/>
      <c r="I139" s="157">
        <f>I140+I141</f>
        <v>9742000000</v>
      </c>
      <c r="K139" s="128"/>
    </row>
    <row r="140" spans="1:11" ht="33">
      <c r="A140" s="155"/>
      <c r="B140" s="158" t="s">
        <v>37</v>
      </c>
      <c r="C140" s="125"/>
      <c r="D140" s="125"/>
      <c r="E140" s="125"/>
      <c r="F140" s="125"/>
      <c r="G140" s="125"/>
      <c r="H140" s="125"/>
      <c r="I140" s="176">
        <v>8028000000</v>
      </c>
      <c r="K140" s="128"/>
    </row>
    <row r="141" spans="1:11" ht="21.6" customHeight="1">
      <c r="A141" s="136"/>
      <c r="B141" s="158" t="s">
        <v>10</v>
      </c>
      <c r="C141" s="125"/>
      <c r="D141" s="125"/>
      <c r="E141" s="125"/>
      <c r="F141" s="125"/>
      <c r="G141" s="125"/>
      <c r="H141" s="125"/>
      <c r="I141" s="176">
        <v>1714000000</v>
      </c>
      <c r="K141" s="128"/>
    </row>
    <row r="142" spans="1:11" ht="33">
      <c r="A142" s="136"/>
      <c r="B142" s="158" t="s">
        <v>346</v>
      </c>
      <c r="C142" s="125"/>
      <c r="D142" s="125"/>
      <c r="E142" s="125"/>
      <c r="F142" s="125"/>
      <c r="G142" s="125"/>
      <c r="H142" s="125"/>
      <c r="I142" s="176">
        <v>102000000</v>
      </c>
      <c r="K142" s="128"/>
    </row>
    <row r="143" spans="1:11" s="212" customFormat="1" ht="55.5" customHeight="1">
      <c r="A143" s="213" t="s">
        <v>98</v>
      </c>
      <c r="B143" s="209" t="s">
        <v>363</v>
      </c>
      <c r="C143" s="210"/>
      <c r="D143" s="210"/>
      <c r="E143" s="210"/>
      <c r="F143" s="210"/>
      <c r="G143" s="210"/>
      <c r="H143" s="210"/>
      <c r="I143" s="214">
        <v>924000000</v>
      </c>
      <c r="J143" s="233"/>
    </row>
    <row r="144" spans="1:11" ht="20.100000000000001" customHeight="1">
      <c r="A144" s="136" t="s">
        <v>15</v>
      </c>
      <c r="B144" s="153" t="s">
        <v>69</v>
      </c>
      <c r="C144" s="124">
        <v>1029499</v>
      </c>
      <c r="D144" s="124">
        <v>412</v>
      </c>
      <c r="E144" s="124">
        <v>341</v>
      </c>
      <c r="F144" s="124">
        <v>14</v>
      </c>
      <c r="G144" s="124"/>
      <c r="H144" s="124">
        <v>200</v>
      </c>
      <c r="I144" s="178">
        <f>I145</f>
        <v>1670000000</v>
      </c>
      <c r="K144" s="128"/>
    </row>
    <row r="145" spans="1:11" ht="42" customHeight="1">
      <c r="A145" s="136"/>
      <c r="B145" s="209" t="s">
        <v>364</v>
      </c>
      <c r="C145" s="126"/>
      <c r="D145" s="126"/>
      <c r="E145" s="126"/>
      <c r="F145" s="126" t="s">
        <v>339</v>
      </c>
      <c r="G145" s="126"/>
      <c r="H145" s="126">
        <v>200</v>
      </c>
      <c r="I145" s="175">
        <v>1670000000</v>
      </c>
      <c r="K145" s="128"/>
    </row>
    <row r="146" spans="1:11" ht="20.100000000000001" customHeight="1">
      <c r="A146" s="136" t="s">
        <v>9</v>
      </c>
      <c r="B146" s="153" t="s">
        <v>32</v>
      </c>
      <c r="C146" s="124"/>
      <c r="D146" s="124"/>
      <c r="E146" s="124"/>
      <c r="F146" s="124"/>
      <c r="G146" s="124"/>
      <c r="H146" s="124"/>
      <c r="I146" s="154">
        <f>I147+I157</f>
        <v>1725000000</v>
      </c>
      <c r="K146" s="128"/>
    </row>
    <row r="147" spans="1:11" ht="20.100000000000001" customHeight="1">
      <c r="A147" s="136" t="s">
        <v>14</v>
      </c>
      <c r="B147" s="153" t="s">
        <v>66</v>
      </c>
      <c r="C147" s="124">
        <v>1029499</v>
      </c>
      <c r="D147" s="124">
        <v>412</v>
      </c>
      <c r="E147" s="124">
        <v>341</v>
      </c>
      <c r="F147" s="124">
        <v>12</v>
      </c>
      <c r="G147" s="124"/>
      <c r="H147" s="124">
        <v>200</v>
      </c>
      <c r="I147" s="138">
        <f>+I148+I149</f>
        <v>1725000000</v>
      </c>
      <c r="K147" s="128"/>
    </row>
    <row r="148" spans="1:11" ht="20.100000000000001" customHeight="1">
      <c r="A148" s="155" t="s">
        <v>96</v>
      </c>
      <c r="B148" s="179" t="s">
        <v>33</v>
      </c>
      <c r="C148" s="180"/>
      <c r="D148" s="180"/>
      <c r="E148" s="180"/>
      <c r="F148" s="180"/>
      <c r="G148" s="180"/>
      <c r="H148" s="180"/>
      <c r="I148" s="157">
        <v>120000000</v>
      </c>
      <c r="K148" s="128"/>
    </row>
    <row r="149" spans="1:11" ht="20.100000000000001" customHeight="1">
      <c r="A149" s="155" t="s">
        <v>98</v>
      </c>
      <c r="B149" s="254" t="s">
        <v>419</v>
      </c>
      <c r="C149" s="180"/>
      <c r="D149" s="180"/>
      <c r="E149" s="180"/>
      <c r="F149" s="180"/>
      <c r="G149" s="180"/>
      <c r="H149" s="180"/>
      <c r="I149" s="127">
        <f>SUM(I150:I156)</f>
        <v>1605000000</v>
      </c>
      <c r="K149" s="128"/>
    </row>
    <row r="150" spans="1:11" s="141" customFormat="1" ht="17.25">
      <c r="A150" s="149"/>
      <c r="B150" s="181" t="s">
        <v>440</v>
      </c>
      <c r="C150" s="180"/>
      <c r="D150" s="180"/>
      <c r="E150" s="180"/>
      <c r="F150" s="180"/>
      <c r="G150" s="180"/>
      <c r="H150" s="180"/>
      <c r="I150" s="182">
        <v>80000000</v>
      </c>
      <c r="J150" s="227"/>
    </row>
    <row r="151" spans="1:11" s="141" customFormat="1" ht="33">
      <c r="A151" s="149"/>
      <c r="B151" s="181" t="s">
        <v>441</v>
      </c>
      <c r="C151" s="180"/>
      <c r="D151" s="180"/>
      <c r="E151" s="180"/>
      <c r="F151" s="180"/>
      <c r="G151" s="180"/>
      <c r="H151" s="180"/>
      <c r="I151" s="182">
        <v>90000000</v>
      </c>
      <c r="J151" s="227"/>
    </row>
    <row r="152" spans="1:11" s="141" customFormat="1" ht="17.25">
      <c r="A152" s="149"/>
      <c r="B152" s="181" t="s">
        <v>424</v>
      </c>
      <c r="C152" s="180"/>
      <c r="D152" s="180"/>
      <c r="E152" s="180"/>
      <c r="F152" s="180"/>
      <c r="G152" s="180"/>
      <c r="H152" s="180"/>
      <c r="I152" s="182">
        <v>10000000</v>
      </c>
      <c r="J152" s="227"/>
    </row>
    <row r="153" spans="1:11" s="141" customFormat="1" ht="33">
      <c r="A153" s="149"/>
      <c r="B153" s="181" t="s">
        <v>442</v>
      </c>
      <c r="C153" s="180"/>
      <c r="D153" s="180"/>
      <c r="E153" s="180"/>
      <c r="F153" s="180"/>
      <c r="G153" s="180"/>
      <c r="H153" s="180"/>
      <c r="I153" s="182">
        <v>130000000</v>
      </c>
      <c r="J153" s="227"/>
    </row>
    <row r="154" spans="1:11" s="141" customFormat="1" ht="17.25">
      <c r="A154" s="149"/>
      <c r="B154" s="181" t="s">
        <v>443</v>
      </c>
      <c r="C154" s="180"/>
      <c r="D154" s="180"/>
      <c r="E154" s="180"/>
      <c r="F154" s="180"/>
      <c r="G154" s="180"/>
      <c r="H154" s="180"/>
      <c r="I154" s="182">
        <v>180000000</v>
      </c>
      <c r="J154" s="227"/>
    </row>
    <row r="155" spans="1:11" s="141" customFormat="1" ht="17.25">
      <c r="A155" s="149"/>
      <c r="B155" s="181" t="s">
        <v>444</v>
      </c>
      <c r="C155" s="180"/>
      <c r="D155" s="180"/>
      <c r="E155" s="180"/>
      <c r="F155" s="180"/>
      <c r="G155" s="180"/>
      <c r="H155" s="180"/>
      <c r="I155" s="182">
        <v>50000000</v>
      </c>
      <c r="J155" s="227"/>
    </row>
    <row r="156" spans="1:11" s="141" customFormat="1" ht="17.25">
      <c r="A156" s="149"/>
      <c r="B156" s="181" t="s">
        <v>435</v>
      </c>
      <c r="C156" s="180"/>
      <c r="D156" s="180"/>
      <c r="E156" s="180"/>
      <c r="F156" s="180"/>
      <c r="G156" s="180"/>
      <c r="H156" s="180"/>
      <c r="I156" s="182">
        <v>1065000000</v>
      </c>
      <c r="J156" s="227"/>
    </row>
    <row r="157" spans="1:11" ht="20.100000000000001" customHeight="1">
      <c r="A157" s="136" t="s">
        <v>15</v>
      </c>
      <c r="B157" s="153" t="s">
        <v>70</v>
      </c>
      <c r="C157" s="124">
        <v>1029499</v>
      </c>
      <c r="D157" s="124">
        <v>412</v>
      </c>
      <c r="E157" s="124">
        <v>341</v>
      </c>
      <c r="F157" s="124">
        <v>14</v>
      </c>
      <c r="G157" s="124"/>
      <c r="H157" s="124">
        <v>200</v>
      </c>
      <c r="I157" s="183">
        <f>I158</f>
        <v>0</v>
      </c>
      <c r="K157" s="128"/>
    </row>
    <row r="158" spans="1:11" s="212" customFormat="1" ht="33">
      <c r="A158" s="205"/>
      <c r="B158" s="209" t="s">
        <v>88</v>
      </c>
      <c r="C158" s="210"/>
      <c r="D158" s="210"/>
      <c r="E158" s="210"/>
      <c r="F158" s="210" t="s">
        <v>341</v>
      </c>
      <c r="G158" s="210"/>
      <c r="H158" s="210">
        <v>200</v>
      </c>
      <c r="I158" s="211"/>
      <c r="J158" s="233"/>
    </row>
    <row r="159" spans="1:11" ht="33">
      <c r="A159" s="136">
        <v>2</v>
      </c>
      <c r="B159" s="137" t="s">
        <v>85</v>
      </c>
      <c r="C159" s="124">
        <v>1029499</v>
      </c>
      <c r="D159" s="124">
        <v>412</v>
      </c>
      <c r="E159" s="124">
        <v>280</v>
      </c>
      <c r="F159" s="124"/>
      <c r="G159" s="124"/>
      <c r="H159" s="124"/>
      <c r="I159" s="148">
        <f>I160+I168</f>
        <v>3755000000</v>
      </c>
      <c r="K159" s="128"/>
    </row>
    <row r="160" spans="1:11" s="141" customFormat="1" ht="21.6" customHeight="1">
      <c r="A160" s="149" t="s">
        <v>12</v>
      </c>
      <c r="B160" s="150" t="s">
        <v>7</v>
      </c>
      <c r="C160" s="124"/>
      <c r="D160" s="124"/>
      <c r="E160" s="124"/>
      <c r="F160" s="124"/>
      <c r="G160" s="124"/>
      <c r="H160" s="124"/>
      <c r="I160" s="151">
        <f>I161+I166</f>
        <v>1987000000</v>
      </c>
      <c r="J160" s="227"/>
    </row>
    <row r="161" spans="1:11" ht="21.6" customHeight="1">
      <c r="A161" s="136" t="s">
        <v>14</v>
      </c>
      <c r="B161" s="153" t="s">
        <v>67</v>
      </c>
      <c r="C161" s="124">
        <v>1029499</v>
      </c>
      <c r="D161" s="124">
        <v>412</v>
      </c>
      <c r="E161" s="124">
        <v>282</v>
      </c>
      <c r="F161" s="124">
        <v>13</v>
      </c>
      <c r="G161" s="124"/>
      <c r="H161" s="124">
        <v>200</v>
      </c>
      <c r="I161" s="154">
        <f>I162+I165</f>
        <v>1704000000</v>
      </c>
      <c r="K161" s="128"/>
    </row>
    <row r="162" spans="1:11">
      <c r="A162" s="155" t="s">
        <v>96</v>
      </c>
      <c r="B162" s="156" t="s">
        <v>71</v>
      </c>
      <c r="C162" s="126"/>
      <c r="D162" s="126"/>
      <c r="E162" s="126"/>
      <c r="F162" s="126"/>
      <c r="G162" s="126"/>
      <c r="H162" s="126"/>
      <c r="I162" s="157">
        <f>I163+I164</f>
        <v>1704000000</v>
      </c>
      <c r="K162" s="128"/>
    </row>
    <row r="163" spans="1:11" ht="33">
      <c r="A163" s="136"/>
      <c r="B163" s="158" t="s">
        <v>38</v>
      </c>
      <c r="C163" s="125"/>
      <c r="D163" s="125"/>
      <c r="E163" s="125"/>
      <c r="F163" s="125"/>
      <c r="G163" s="125"/>
      <c r="H163" s="125"/>
      <c r="I163" s="159">
        <v>1361000000</v>
      </c>
      <c r="K163" s="128"/>
    </row>
    <row r="164" spans="1:11" ht="20.100000000000001" customHeight="1">
      <c r="A164" s="136"/>
      <c r="B164" s="158" t="s">
        <v>10</v>
      </c>
      <c r="C164" s="125"/>
      <c r="D164" s="125"/>
      <c r="E164" s="125"/>
      <c r="F164" s="125"/>
      <c r="G164" s="125"/>
      <c r="H164" s="125"/>
      <c r="I164" s="159">
        <v>343000000</v>
      </c>
      <c r="K164" s="128"/>
    </row>
    <row r="165" spans="1:11" s="212" customFormat="1" ht="35.25" customHeight="1">
      <c r="A165" s="213" t="s">
        <v>98</v>
      </c>
      <c r="B165" s="209" t="s">
        <v>87</v>
      </c>
      <c r="C165" s="210"/>
      <c r="D165" s="210"/>
      <c r="E165" s="210"/>
      <c r="F165" s="210"/>
      <c r="G165" s="210"/>
      <c r="H165" s="210"/>
      <c r="I165" s="215"/>
      <c r="J165" s="233"/>
    </row>
    <row r="166" spans="1:11" ht="20.100000000000001" customHeight="1">
      <c r="A166" s="136" t="s">
        <v>15</v>
      </c>
      <c r="B166" s="160" t="s">
        <v>69</v>
      </c>
      <c r="C166" s="124">
        <v>1029499</v>
      </c>
      <c r="D166" s="124">
        <v>412</v>
      </c>
      <c r="E166" s="143">
        <v>282</v>
      </c>
      <c r="F166" s="143">
        <v>14</v>
      </c>
      <c r="G166" s="143"/>
      <c r="H166" s="143">
        <v>200</v>
      </c>
      <c r="I166" s="138">
        <f>I167</f>
        <v>283000000</v>
      </c>
      <c r="K166" s="128"/>
    </row>
    <row r="167" spans="1:11" ht="33">
      <c r="A167" s="136"/>
      <c r="B167" s="156" t="s">
        <v>367</v>
      </c>
      <c r="C167" s="126"/>
      <c r="D167" s="126"/>
      <c r="E167" s="126"/>
      <c r="F167" s="126" t="s">
        <v>339</v>
      </c>
      <c r="G167" s="126"/>
      <c r="H167" s="126">
        <v>200</v>
      </c>
      <c r="I167" s="140">
        <v>283000000</v>
      </c>
      <c r="K167" s="128"/>
    </row>
    <row r="168" spans="1:11" s="141" customFormat="1" ht="21.6" customHeight="1">
      <c r="A168" s="149" t="s">
        <v>13</v>
      </c>
      <c r="B168" s="150" t="s">
        <v>461</v>
      </c>
      <c r="C168" s="124">
        <v>1029499</v>
      </c>
      <c r="D168" s="124">
        <v>412</v>
      </c>
      <c r="E168" s="124">
        <v>282</v>
      </c>
      <c r="F168" s="124">
        <v>12</v>
      </c>
      <c r="G168" s="124"/>
      <c r="H168" s="124">
        <v>200</v>
      </c>
      <c r="I168" s="151">
        <f>SUM(I169:I174)</f>
        <v>1768000000</v>
      </c>
      <c r="J168" s="227"/>
    </row>
    <row r="169" spans="1:11">
      <c r="A169" s="155" t="s">
        <v>14</v>
      </c>
      <c r="B169" s="139" t="s">
        <v>78</v>
      </c>
      <c r="C169" s="125"/>
      <c r="D169" s="125"/>
      <c r="E169" s="125"/>
      <c r="F169" s="125"/>
      <c r="G169" s="125"/>
      <c r="H169" s="125"/>
      <c r="I169" s="157">
        <v>471000000</v>
      </c>
      <c r="K169" s="128"/>
    </row>
    <row r="170" spans="1:11">
      <c r="A170" s="155" t="s">
        <v>15</v>
      </c>
      <c r="B170" s="139" t="s">
        <v>79</v>
      </c>
      <c r="C170" s="125"/>
      <c r="D170" s="125"/>
      <c r="E170" s="125"/>
      <c r="F170" s="125"/>
      <c r="G170" s="125"/>
      <c r="H170" s="125"/>
      <c r="I170" s="157">
        <v>150000000</v>
      </c>
      <c r="K170" s="128"/>
    </row>
    <row r="171" spans="1:11" ht="33">
      <c r="A171" s="155" t="s">
        <v>24</v>
      </c>
      <c r="B171" s="139" t="s">
        <v>80</v>
      </c>
      <c r="C171" s="125"/>
      <c r="D171" s="125"/>
      <c r="E171" s="125"/>
      <c r="F171" s="125"/>
      <c r="G171" s="125"/>
      <c r="H171" s="125"/>
      <c r="I171" s="157">
        <v>120000000</v>
      </c>
      <c r="K171" s="128"/>
    </row>
    <row r="172" spans="1:11">
      <c r="A172" s="155" t="s">
        <v>313</v>
      </c>
      <c r="B172" s="139" t="s">
        <v>81</v>
      </c>
      <c r="C172" s="125"/>
      <c r="D172" s="125"/>
      <c r="E172" s="125"/>
      <c r="F172" s="125"/>
      <c r="G172" s="125"/>
      <c r="H172" s="125"/>
      <c r="I172" s="157">
        <v>500000000</v>
      </c>
      <c r="K172" s="128"/>
    </row>
    <row r="173" spans="1:11">
      <c r="A173" s="155" t="s">
        <v>314</v>
      </c>
      <c r="B173" s="139" t="s">
        <v>82</v>
      </c>
      <c r="C173" s="125"/>
      <c r="D173" s="125"/>
      <c r="E173" s="125"/>
      <c r="F173" s="125"/>
      <c r="G173" s="125"/>
      <c r="H173" s="125"/>
      <c r="I173" s="157">
        <v>427000000</v>
      </c>
      <c r="K173" s="128"/>
    </row>
    <row r="174" spans="1:11">
      <c r="A174" s="155" t="s">
        <v>315</v>
      </c>
      <c r="B174" s="139" t="s">
        <v>83</v>
      </c>
      <c r="C174" s="125"/>
      <c r="D174" s="125"/>
      <c r="E174" s="125"/>
      <c r="F174" s="125"/>
      <c r="G174" s="125"/>
      <c r="H174" s="125"/>
      <c r="I174" s="157">
        <v>100000000</v>
      </c>
      <c r="K174" s="128"/>
    </row>
    <row r="175" spans="1:11">
      <c r="A175" s="205" t="s">
        <v>101</v>
      </c>
      <c r="B175" s="206" t="s">
        <v>305</v>
      </c>
      <c r="C175" s="207">
        <v>1029495</v>
      </c>
      <c r="D175" s="207">
        <v>412</v>
      </c>
      <c r="E175" s="207"/>
      <c r="F175" s="207"/>
      <c r="G175" s="207"/>
      <c r="H175" s="207"/>
      <c r="I175" s="208">
        <f>I176+I196+I211</f>
        <v>9174000000</v>
      </c>
      <c r="J175" s="225">
        <f>+I175+10000000</f>
        <v>9184000000</v>
      </c>
      <c r="K175" s="128"/>
    </row>
    <row r="176" spans="1:11">
      <c r="A176" s="136">
        <v>1</v>
      </c>
      <c r="B176" s="137" t="s">
        <v>6</v>
      </c>
      <c r="C176" s="124"/>
      <c r="D176" s="124"/>
      <c r="E176" s="124"/>
      <c r="F176" s="124"/>
      <c r="G176" s="124"/>
      <c r="H176" s="124"/>
      <c r="I176" s="148">
        <f>I177+I185</f>
        <v>2839000000</v>
      </c>
      <c r="K176" s="128"/>
    </row>
    <row r="177" spans="1:11" s="141" customFormat="1" ht="20.100000000000001" customHeight="1">
      <c r="A177" s="149" t="s">
        <v>8</v>
      </c>
      <c r="B177" s="150" t="s">
        <v>7</v>
      </c>
      <c r="C177" s="124"/>
      <c r="D177" s="124"/>
      <c r="E177" s="124"/>
      <c r="F177" s="124"/>
      <c r="G177" s="124"/>
      <c r="H177" s="124"/>
      <c r="I177" s="151">
        <f>I178+I183</f>
        <v>2417000000</v>
      </c>
      <c r="J177" s="227"/>
    </row>
    <row r="178" spans="1:11" ht="20.100000000000001" customHeight="1">
      <c r="A178" s="136" t="s">
        <v>14</v>
      </c>
      <c r="B178" s="153" t="s">
        <v>67</v>
      </c>
      <c r="C178" s="124">
        <v>1029495</v>
      </c>
      <c r="D178" s="124">
        <v>412</v>
      </c>
      <c r="E178" s="124">
        <v>341</v>
      </c>
      <c r="F178" s="124">
        <v>13</v>
      </c>
      <c r="G178" s="124"/>
      <c r="H178" s="124">
        <v>200</v>
      </c>
      <c r="I178" s="154">
        <f>I179+I182</f>
        <v>2124000000</v>
      </c>
      <c r="K178" s="128"/>
    </row>
    <row r="179" spans="1:11" ht="20.100000000000001" customHeight="1">
      <c r="A179" s="155" t="s">
        <v>96</v>
      </c>
      <c r="B179" s="156" t="s">
        <v>29</v>
      </c>
      <c r="C179" s="126"/>
      <c r="D179" s="126"/>
      <c r="E179" s="126"/>
      <c r="F179" s="126"/>
      <c r="G179" s="126"/>
      <c r="H179" s="126"/>
      <c r="I179" s="157">
        <f>I180+I181</f>
        <v>1881000000</v>
      </c>
      <c r="K179" s="128"/>
    </row>
    <row r="180" spans="1:11" ht="33">
      <c r="A180" s="155"/>
      <c r="B180" s="158" t="s">
        <v>39</v>
      </c>
      <c r="C180" s="125"/>
      <c r="D180" s="125"/>
      <c r="E180" s="125"/>
      <c r="F180" s="125"/>
      <c r="G180" s="125"/>
      <c r="H180" s="125"/>
      <c r="I180" s="159">
        <v>1409000000</v>
      </c>
      <c r="K180" s="128"/>
    </row>
    <row r="181" spans="1:11" ht="20.100000000000001" customHeight="1">
      <c r="A181" s="155"/>
      <c r="B181" s="158" t="s">
        <v>10</v>
      </c>
      <c r="C181" s="125"/>
      <c r="D181" s="125"/>
      <c r="E181" s="125"/>
      <c r="F181" s="125"/>
      <c r="G181" s="125"/>
      <c r="H181" s="125"/>
      <c r="I181" s="159">
        <v>472000000</v>
      </c>
      <c r="K181" s="128"/>
    </row>
    <row r="182" spans="1:11" ht="33">
      <c r="A182" s="155" t="s">
        <v>98</v>
      </c>
      <c r="B182" s="156" t="s">
        <v>352</v>
      </c>
      <c r="C182" s="126"/>
      <c r="D182" s="126"/>
      <c r="E182" s="126"/>
      <c r="F182" s="126"/>
      <c r="G182" s="126"/>
      <c r="H182" s="126"/>
      <c r="I182" s="140">
        <v>243000000</v>
      </c>
      <c r="K182" s="128"/>
    </row>
    <row r="183" spans="1:11">
      <c r="A183" s="136" t="s">
        <v>15</v>
      </c>
      <c r="B183" s="160" t="s">
        <v>69</v>
      </c>
      <c r="C183" s="143">
        <v>1029495</v>
      </c>
      <c r="D183" s="143">
        <v>412</v>
      </c>
      <c r="E183" s="143">
        <v>341</v>
      </c>
      <c r="F183" s="143">
        <v>14</v>
      </c>
      <c r="G183" s="143"/>
      <c r="H183" s="143">
        <v>200</v>
      </c>
      <c r="I183" s="138">
        <f>I184</f>
        <v>293000000</v>
      </c>
      <c r="K183" s="128"/>
    </row>
    <row r="184" spans="1:11" ht="33">
      <c r="A184" s="136"/>
      <c r="B184" s="156" t="s">
        <v>368</v>
      </c>
      <c r="C184" s="126"/>
      <c r="D184" s="126"/>
      <c r="E184" s="126"/>
      <c r="F184" s="126" t="s">
        <v>339</v>
      </c>
      <c r="G184" s="126"/>
      <c r="H184" s="126">
        <v>200</v>
      </c>
      <c r="I184" s="140">
        <v>293000000</v>
      </c>
      <c r="K184" s="128"/>
    </row>
    <row r="185" spans="1:11" s="141" customFormat="1" ht="20.100000000000001" customHeight="1">
      <c r="A185" s="149" t="s">
        <v>9</v>
      </c>
      <c r="B185" s="150" t="s">
        <v>32</v>
      </c>
      <c r="C185" s="124"/>
      <c r="D185" s="124"/>
      <c r="E185" s="124"/>
      <c r="F185" s="124"/>
      <c r="G185" s="124"/>
      <c r="H185" s="124"/>
      <c r="I185" s="151">
        <f>I186+I194</f>
        <v>422000000</v>
      </c>
      <c r="J185" s="227"/>
    </row>
    <row r="186" spans="1:11" ht="20.100000000000001" customHeight="1">
      <c r="A186" s="136" t="s">
        <v>14</v>
      </c>
      <c r="B186" s="153" t="s">
        <v>66</v>
      </c>
      <c r="C186" s="124">
        <v>1029495</v>
      </c>
      <c r="D186" s="124">
        <v>412</v>
      </c>
      <c r="E186" s="124">
        <v>341</v>
      </c>
      <c r="F186" s="124">
        <v>12</v>
      </c>
      <c r="G186" s="124"/>
      <c r="H186" s="124">
        <v>200</v>
      </c>
      <c r="I186" s="138">
        <f>I187+I188</f>
        <v>422000000</v>
      </c>
      <c r="K186" s="128"/>
    </row>
    <row r="187" spans="1:11" ht="20.100000000000001" customHeight="1">
      <c r="A187" s="155" t="s">
        <v>96</v>
      </c>
      <c r="B187" s="161" t="s">
        <v>36</v>
      </c>
      <c r="C187" s="162"/>
      <c r="D187" s="162"/>
      <c r="E187" s="162"/>
      <c r="F187" s="162"/>
      <c r="G187" s="162"/>
      <c r="H187" s="162"/>
      <c r="I187" s="157">
        <v>24000000</v>
      </c>
      <c r="K187" s="128"/>
    </row>
    <row r="188" spans="1:11" ht="20.100000000000001" customHeight="1">
      <c r="A188" s="155" t="s">
        <v>98</v>
      </c>
      <c r="B188" s="161" t="s">
        <v>446</v>
      </c>
      <c r="C188" s="162"/>
      <c r="D188" s="162"/>
      <c r="E188" s="162"/>
      <c r="F188" s="162"/>
      <c r="G188" s="162"/>
      <c r="H188" s="162"/>
      <c r="I188" s="157">
        <f>SUM(I189:I193)</f>
        <v>398000000</v>
      </c>
      <c r="K188" s="128"/>
    </row>
    <row r="189" spans="1:11" s="141" customFormat="1" ht="20.100000000000001" customHeight="1">
      <c r="A189" s="195"/>
      <c r="B189" s="184" t="s">
        <v>350</v>
      </c>
      <c r="C189" s="204"/>
      <c r="D189" s="204"/>
      <c r="E189" s="204"/>
      <c r="F189" s="204"/>
      <c r="G189" s="204"/>
      <c r="H189" s="204"/>
      <c r="I189" s="165">
        <v>10000000</v>
      </c>
      <c r="J189" s="227"/>
    </row>
    <row r="190" spans="1:11" s="141" customFormat="1" ht="20.100000000000001" customHeight="1">
      <c r="A190" s="195"/>
      <c r="B190" s="184" t="s">
        <v>353</v>
      </c>
      <c r="C190" s="204"/>
      <c r="D190" s="204"/>
      <c r="E190" s="204"/>
      <c r="F190" s="204"/>
      <c r="G190" s="204"/>
      <c r="H190" s="204"/>
      <c r="I190" s="165">
        <v>77000000</v>
      </c>
      <c r="J190" s="227"/>
    </row>
    <row r="191" spans="1:11" s="141" customFormat="1" ht="20.100000000000001" customHeight="1">
      <c r="A191" s="195"/>
      <c r="B191" s="184" t="s">
        <v>47</v>
      </c>
      <c r="C191" s="204"/>
      <c r="D191" s="204"/>
      <c r="E191" s="204"/>
      <c r="F191" s="204"/>
      <c r="G191" s="204"/>
      <c r="H191" s="204"/>
      <c r="I191" s="165">
        <v>189000000</v>
      </c>
      <c r="J191" s="227"/>
    </row>
    <row r="192" spans="1:11" s="141" customFormat="1" ht="33">
      <c r="A192" s="149"/>
      <c r="B192" s="184" t="s">
        <v>354</v>
      </c>
      <c r="C192" s="204"/>
      <c r="D192" s="204"/>
      <c r="E192" s="204"/>
      <c r="F192" s="204"/>
      <c r="G192" s="204"/>
      <c r="H192" s="204"/>
      <c r="I192" s="165">
        <v>99000000</v>
      </c>
      <c r="J192" s="227"/>
    </row>
    <row r="193" spans="1:11" s="141" customFormat="1" ht="20.100000000000001" customHeight="1">
      <c r="A193" s="149"/>
      <c r="B193" s="184" t="s">
        <v>351</v>
      </c>
      <c r="C193" s="204"/>
      <c r="D193" s="204"/>
      <c r="E193" s="204"/>
      <c r="F193" s="204"/>
      <c r="G193" s="204"/>
      <c r="H193" s="204"/>
      <c r="I193" s="165">
        <v>23000000</v>
      </c>
      <c r="J193" s="227"/>
    </row>
    <row r="194" spans="1:11" s="141" customFormat="1" ht="20.100000000000001" customHeight="1">
      <c r="A194" s="136" t="s">
        <v>15</v>
      </c>
      <c r="B194" s="160" t="s">
        <v>70</v>
      </c>
      <c r="C194" s="143">
        <v>1029495</v>
      </c>
      <c r="D194" s="143">
        <v>412</v>
      </c>
      <c r="E194" s="143">
        <v>341</v>
      </c>
      <c r="F194" s="143">
        <v>14</v>
      </c>
      <c r="G194" s="143"/>
      <c r="H194" s="143">
        <v>200</v>
      </c>
      <c r="I194" s="154">
        <f>I195</f>
        <v>0</v>
      </c>
      <c r="J194" s="227"/>
    </row>
    <row r="195" spans="1:11" s="217" customFormat="1" ht="33">
      <c r="A195" s="216"/>
      <c r="B195" s="209" t="s">
        <v>88</v>
      </c>
      <c r="C195" s="210"/>
      <c r="D195" s="210"/>
      <c r="E195" s="210"/>
      <c r="F195" s="210" t="s">
        <v>341</v>
      </c>
      <c r="G195" s="210"/>
      <c r="H195" s="210">
        <v>200</v>
      </c>
      <c r="I195" s="211"/>
      <c r="J195" s="234"/>
    </row>
    <row r="196" spans="1:11" ht="33">
      <c r="A196" s="136">
        <v>2</v>
      </c>
      <c r="B196" s="137" t="s">
        <v>34</v>
      </c>
      <c r="C196" s="124"/>
      <c r="D196" s="124"/>
      <c r="E196" s="124"/>
      <c r="F196" s="124"/>
      <c r="G196" s="124"/>
      <c r="H196" s="124"/>
      <c r="I196" s="148">
        <f>I197+I204</f>
        <v>6235000000</v>
      </c>
      <c r="K196" s="128"/>
    </row>
    <row r="197" spans="1:11">
      <c r="A197" s="136" t="s">
        <v>12</v>
      </c>
      <c r="B197" s="153" t="s">
        <v>7</v>
      </c>
      <c r="C197" s="124"/>
      <c r="D197" s="124"/>
      <c r="E197" s="124"/>
      <c r="F197" s="124"/>
      <c r="G197" s="124"/>
      <c r="H197" s="124"/>
      <c r="I197" s="154">
        <f>I198+I202</f>
        <v>4266000000</v>
      </c>
      <c r="K197" s="128"/>
    </row>
    <row r="198" spans="1:11">
      <c r="A198" s="136" t="s">
        <v>14</v>
      </c>
      <c r="B198" s="153" t="s">
        <v>67</v>
      </c>
      <c r="C198" s="124">
        <v>1029495</v>
      </c>
      <c r="D198" s="124">
        <v>412</v>
      </c>
      <c r="E198" s="124">
        <v>281</v>
      </c>
      <c r="F198" s="124">
        <v>13</v>
      </c>
      <c r="G198" s="124"/>
      <c r="H198" s="124">
        <v>200</v>
      </c>
      <c r="I198" s="154">
        <f>I199</f>
        <v>3677000000</v>
      </c>
      <c r="K198" s="128"/>
    </row>
    <row r="199" spans="1:11">
      <c r="A199" s="136"/>
      <c r="B199" s="156" t="s">
        <v>72</v>
      </c>
      <c r="C199" s="126"/>
      <c r="D199" s="126"/>
      <c r="E199" s="126"/>
      <c r="F199" s="126"/>
      <c r="G199" s="126"/>
      <c r="H199" s="126"/>
      <c r="I199" s="157">
        <f>I200+I201</f>
        <v>3677000000</v>
      </c>
      <c r="K199" s="128"/>
    </row>
    <row r="200" spans="1:11" ht="33">
      <c r="A200" s="136"/>
      <c r="B200" s="158" t="s">
        <v>40</v>
      </c>
      <c r="C200" s="125"/>
      <c r="D200" s="125"/>
      <c r="E200" s="125"/>
      <c r="F200" s="125"/>
      <c r="G200" s="125"/>
      <c r="H200" s="125"/>
      <c r="I200" s="159">
        <v>2830000000</v>
      </c>
      <c r="K200" s="128"/>
    </row>
    <row r="201" spans="1:11">
      <c r="A201" s="136"/>
      <c r="B201" s="185" t="s">
        <v>10</v>
      </c>
      <c r="C201" s="126"/>
      <c r="D201" s="126"/>
      <c r="E201" s="126"/>
      <c r="F201" s="126"/>
      <c r="G201" s="126"/>
      <c r="H201" s="126"/>
      <c r="I201" s="159">
        <v>847000000</v>
      </c>
      <c r="K201" s="128"/>
    </row>
    <row r="202" spans="1:11" ht="20.100000000000001" customHeight="1">
      <c r="A202" s="136" t="s">
        <v>15</v>
      </c>
      <c r="B202" s="160" t="s">
        <v>69</v>
      </c>
      <c r="C202" s="143">
        <v>1029495</v>
      </c>
      <c r="D202" s="143">
        <v>412</v>
      </c>
      <c r="E202" s="143">
        <v>281</v>
      </c>
      <c r="F202" s="143">
        <v>14</v>
      </c>
      <c r="G202" s="143"/>
      <c r="H202" s="143">
        <v>200</v>
      </c>
      <c r="I202" s="138">
        <f>I203</f>
        <v>589000000</v>
      </c>
      <c r="K202" s="128"/>
    </row>
    <row r="203" spans="1:11" ht="33">
      <c r="A203" s="136"/>
      <c r="B203" s="156" t="s">
        <v>369</v>
      </c>
      <c r="C203" s="126"/>
      <c r="D203" s="126"/>
      <c r="E203" s="126"/>
      <c r="F203" s="126" t="s">
        <v>339</v>
      </c>
      <c r="G203" s="126"/>
      <c r="H203" s="126">
        <v>200</v>
      </c>
      <c r="I203" s="140">
        <v>589000000</v>
      </c>
      <c r="K203" s="128"/>
    </row>
    <row r="204" spans="1:11" ht="21.6" customHeight="1">
      <c r="A204" s="136" t="s">
        <v>13</v>
      </c>
      <c r="B204" s="153" t="s">
        <v>461</v>
      </c>
      <c r="C204" s="124">
        <v>1029495</v>
      </c>
      <c r="D204" s="124">
        <v>412</v>
      </c>
      <c r="E204" s="124">
        <v>281</v>
      </c>
      <c r="F204" s="124">
        <v>12</v>
      </c>
      <c r="G204" s="124"/>
      <c r="H204" s="124">
        <v>200</v>
      </c>
      <c r="I204" s="154">
        <f>SUM(I205:I210)</f>
        <v>1969000000</v>
      </c>
      <c r="K204" s="128"/>
    </row>
    <row r="205" spans="1:11">
      <c r="A205" s="155" t="s">
        <v>14</v>
      </c>
      <c r="B205" s="142" t="s">
        <v>42</v>
      </c>
      <c r="C205" s="126"/>
      <c r="D205" s="126"/>
      <c r="E205" s="126"/>
      <c r="F205" s="126"/>
      <c r="G205" s="126"/>
      <c r="H205" s="126"/>
      <c r="I205" s="127">
        <v>551000000</v>
      </c>
      <c r="K205" s="128"/>
    </row>
    <row r="206" spans="1:11" ht="33">
      <c r="A206" s="155" t="s">
        <v>15</v>
      </c>
      <c r="B206" s="142" t="s">
        <v>356</v>
      </c>
      <c r="C206" s="126"/>
      <c r="D206" s="126"/>
      <c r="E206" s="126"/>
      <c r="F206" s="126"/>
      <c r="G206" s="126"/>
      <c r="H206" s="126"/>
      <c r="I206" s="127">
        <v>100000000</v>
      </c>
      <c r="K206" s="128"/>
    </row>
    <row r="207" spans="1:11">
      <c r="A207" s="155" t="s">
        <v>24</v>
      </c>
      <c r="B207" s="142" t="s">
        <v>445</v>
      </c>
      <c r="C207" s="126"/>
      <c r="D207" s="126"/>
      <c r="E207" s="126"/>
      <c r="F207" s="126"/>
      <c r="G207" s="126"/>
      <c r="H207" s="126"/>
      <c r="I207" s="127">
        <v>83000000</v>
      </c>
      <c r="K207" s="128"/>
    </row>
    <row r="208" spans="1:11" ht="49.5">
      <c r="A208" s="155" t="s">
        <v>313</v>
      </c>
      <c r="B208" s="142" t="s">
        <v>43</v>
      </c>
      <c r="C208" s="126"/>
      <c r="D208" s="126"/>
      <c r="E208" s="126"/>
      <c r="F208" s="126"/>
      <c r="G208" s="126"/>
      <c r="H208" s="126"/>
      <c r="I208" s="127">
        <v>1036000000</v>
      </c>
      <c r="K208" s="128"/>
    </row>
    <row r="209" spans="1:11" ht="42" customHeight="1">
      <c r="A209" s="155" t="s">
        <v>314</v>
      </c>
      <c r="B209" s="142" t="s">
        <v>355</v>
      </c>
      <c r="C209" s="126"/>
      <c r="D209" s="126"/>
      <c r="E209" s="126"/>
      <c r="F209" s="126"/>
      <c r="G209" s="126"/>
      <c r="H209" s="126"/>
      <c r="I209" s="127">
        <v>19000000</v>
      </c>
      <c r="K209" s="128"/>
    </row>
    <row r="210" spans="1:11">
      <c r="A210" s="155" t="s">
        <v>315</v>
      </c>
      <c r="B210" s="142" t="s">
        <v>44</v>
      </c>
      <c r="C210" s="126"/>
      <c r="D210" s="126"/>
      <c r="E210" s="126"/>
      <c r="F210" s="126"/>
      <c r="G210" s="126"/>
      <c r="H210" s="126"/>
      <c r="I210" s="127">
        <v>180000000</v>
      </c>
      <c r="K210" s="128"/>
    </row>
    <row r="211" spans="1:11" ht="33">
      <c r="A211" s="136">
        <v>3</v>
      </c>
      <c r="B211" s="137" t="s">
        <v>471</v>
      </c>
      <c r="C211" s="124">
        <v>1029495</v>
      </c>
      <c r="D211" s="124">
        <v>412</v>
      </c>
      <c r="E211" s="124">
        <v>278</v>
      </c>
      <c r="F211" s="124">
        <v>12</v>
      </c>
      <c r="G211" s="124"/>
      <c r="H211" s="124">
        <v>200</v>
      </c>
      <c r="I211" s="148">
        <f>+I212</f>
        <v>100000000</v>
      </c>
      <c r="K211" s="128"/>
    </row>
    <row r="212" spans="1:11" ht="20.100000000000001" customHeight="1">
      <c r="A212" s="136"/>
      <c r="B212" s="156" t="s">
        <v>45</v>
      </c>
      <c r="C212" s="126"/>
      <c r="D212" s="126"/>
      <c r="E212" s="126"/>
      <c r="F212" s="126"/>
      <c r="G212" s="126"/>
      <c r="H212" s="126"/>
      <c r="I212" s="186">
        <v>100000000</v>
      </c>
      <c r="K212" s="128"/>
    </row>
    <row r="213" spans="1:11">
      <c r="A213" s="205" t="s">
        <v>102</v>
      </c>
      <c r="B213" s="206" t="s">
        <v>306</v>
      </c>
      <c r="C213" s="207">
        <v>1029500</v>
      </c>
      <c r="D213" s="207">
        <v>412</v>
      </c>
      <c r="E213" s="207"/>
      <c r="F213" s="207"/>
      <c r="G213" s="207"/>
      <c r="H213" s="207"/>
      <c r="I213" s="208">
        <f>I214+I233+I258</f>
        <v>23486000000</v>
      </c>
      <c r="J213" s="225">
        <f>I213+10000000</f>
        <v>23496000000</v>
      </c>
      <c r="K213" s="128"/>
    </row>
    <row r="214" spans="1:11">
      <c r="A214" s="136">
        <v>1</v>
      </c>
      <c r="B214" s="137" t="s">
        <v>6</v>
      </c>
      <c r="C214" s="124"/>
      <c r="D214" s="124"/>
      <c r="E214" s="124"/>
      <c r="F214" s="124"/>
      <c r="G214" s="124"/>
      <c r="H214" s="124"/>
      <c r="I214" s="148">
        <f>I215+I224</f>
        <v>7210000000</v>
      </c>
      <c r="K214" s="128"/>
    </row>
    <row r="215" spans="1:11" ht="21.6" customHeight="1">
      <c r="A215" s="136" t="s">
        <v>8</v>
      </c>
      <c r="B215" s="153" t="s">
        <v>7</v>
      </c>
      <c r="C215" s="124"/>
      <c r="D215" s="124"/>
      <c r="E215" s="124"/>
      <c r="F215" s="124"/>
      <c r="G215" s="124"/>
      <c r="H215" s="124"/>
      <c r="I215" s="154">
        <f>I216+I222</f>
        <v>2812000000</v>
      </c>
      <c r="K215" s="128"/>
    </row>
    <row r="216" spans="1:11" ht="21.6" customHeight="1">
      <c r="A216" s="136" t="s">
        <v>14</v>
      </c>
      <c r="B216" s="153" t="s">
        <v>67</v>
      </c>
      <c r="C216" s="124">
        <v>1029500</v>
      </c>
      <c r="D216" s="124">
        <v>412</v>
      </c>
      <c r="E216" s="124">
        <v>341</v>
      </c>
      <c r="F216" s="124">
        <v>13</v>
      </c>
      <c r="G216" s="124"/>
      <c r="H216" s="124">
        <v>200</v>
      </c>
      <c r="I216" s="154">
        <f>I217+I221+I220</f>
        <v>2452000000</v>
      </c>
      <c r="K216" s="128"/>
    </row>
    <row r="217" spans="1:11" ht="21.6" customHeight="1">
      <c r="A217" s="155" t="s">
        <v>96</v>
      </c>
      <c r="B217" s="156" t="s">
        <v>46</v>
      </c>
      <c r="C217" s="126"/>
      <c r="D217" s="126"/>
      <c r="E217" s="126"/>
      <c r="F217" s="126"/>
      <c r="G217" s="126"/>
      <c r="H217" s="126"/>
      <c r="I217" s="157">
        <f>I218+I219</f>
        <v>2233000000</v>
      </c>
      <c r="K217" s="128"/>
    </row>
    <row r="218" spans="1:11" ht="33">
      <c r="A218" s="155"/>
      <c r="B218" s="158" t="s">
        <v>35</v>
      </c>
      <c r="C218" s="125"/>
      <c r="D218" s="125"/>
      <c r="E218" s="125"/>
      <c r="F218" s="125"/>
      <c r="G218" s="125"/>
      <c r="H218" s="125"/>
      <c r="I218" s="159">
        <v>1731000000</v>
      </c>
      <c r="K218" s="128"/>
    </row>
    <row r="219" spans="1:11">
      <c r="A219" s="155"/>
      <c r="B219" s="158" t="s">
        <v>10</v>
      </c>
      <c r="C219" s="125"/>
      <c r="D219" s="125"/>
      <c r="E219" s="125"/>
      <c r="F219" s="125"/>
      <c r="G219" s="125"/>
      <c r="H219" s="125"/>
      <c r="I219" s="159">
        <v>502000000</v>
      </c>
      <c r="K219" s="128"/>
    </row>
    <row r="220" spans="1:11" ht="33">
      <c r="A220" s="155"/>
      <c r="B220" s="158" t="s">
        <v>346</v>
      </c>
      <c r="C220" s="125"/>
      <c r="D220" s="125"/>
      <c r="E220" s="125"/>
      <c r="F220" s="125"/>
      <c r="G220" s="125"/>
      <c r="H220" s="125"/>
      <c r="I220" s="159"/>
      <c r="K220" s="128"/>
    </row>
    <row r="221" spans="1:11" ht="33">
      <c r="A221" s="155" t="s">
        <v>98</v>
      </c>
      <c r="B221" s="156" t="s">
        <v>352</v>
      </c>
      <c r="C221" s="126"/>
      <c r="D221" s="126"/>
      <c r="E221" s="126"/>
      <c r="F221" s="126"/>
      <c r="G221" s="126"/>
      <c r="H221" s="126"/>
      <c r="I221" s="140">
        <v>219000000</v>
      </c>
      <c r="K221" s="128"/>
    </row>
    <row r="222" spans="1:11">
      <c r="A222" s="136" t="s">
        <v>15</v>
      </c>
      <c r="B222" s="160" t="s">
        <v>69</v>
      </c>
      <c r="C222" s="143">
        <v>1029500</v>
      </c>
      <c r="D222" s="143">
        <v>412</v>
      </c>
      <c r="E222" s="143">
        <v>341</v>
      </c>
      <c r="F222" s="143">
        <v>14</v>
      </c>
      <c r="G222" s="143"/>
      <c r="H222" s="143">
        <v>200</v>
      </c>
      <c r="I222" s="138">
        <f>I223</f>
        <v>360000000</v>
      </c>
      <c r="K222" s="128"/>
    </row>
    <row r="223" spans="1:11" ht="33">
      <c r="A223" s="136"/>
      <c r="B223" s="156" t="s">
        <v>365</v>
      </c>
      <c r="C223" s="126"/>
      <c r="D223" s="126"/>
      <c r="E223" s="126"/>
      <c r="F223" s="126" t="s">
        <v>339</v>
      </c>
      <c r="G223" s="126"/>
      <c r="H223" s="126">
        <v>200</v>
      </c>
      <c r="I223" s="140">
        <v>360000000</v>
      </c>
      <c r="K223" s="128"/>
    </row>
    <row r="224" spans="1:11">
      <c r="A224" s="136" t="s">
        <v>9</v>
      </c>
      <c r="B224" s="153" t="s">
        <v>41</v>
      </c>
      <c r="C224" s="124">
        <v>1029500</v>
      </c>
      <c r="D224" s="124">
        <v>412</v>
      </c>
      <c r="E224" s="124">
        <v>341</v>
      </c>
      <c r="F224" s="124">
        <v>12</v>
      </c>
      <c r="G224" s="124"/>
      <c r="H224" s="124">
        <v>200</v>
      </c>
      <c r="I224" s="154">
        <f>+I225+I226</f>
        <v>4398000000</v>
      </c>
      <c r="K224" s="128"/>
    </row>
    <row r="225" spans="1:11">
      <c r="A225" s="155" t="s">
        <v>14</v>
      </c>
      <c r="B225" s="161" t="s">
        <v>36</v>
      </c>
      <c r="C225" s="162"/>
      <c r="D225" s="162"/>
      <c r="E225" s="162"/>
      <c r="F225" s="162"/>
      <c r="G225" s="162"/>
      <c r="H225" s="162"/>
      <c r="I225" s="157">
        <v>54000000</v>
      </c>
      <c r="K225" s="128"/>
    </row>
    <row r="226" spans="1:11">
      <c r="A226" s="155" t="s">
        <v>15</v>
      </c>
      <c r="B226" s="161" t="s">
        <v>446</v>
      </c>
      <c r="C226" s="162"/>
      <c r="D226" s="162"/>
      <c r="E226" s="162"/>
      <c r="F226" s="162"/>
      <c r="G226" s="162"/>
      <c r="H226" s="162"/>
      <c r="I226" s="127">
        <f>SUM(I227:I232)</f>
        <v>4344000000</v>
      </c>
      <c r="K226" s="128"/>
    </row>
    <row r="227" spans="1:11" s="141" customFormat="1" ht="17.25">
      <c r="A227" s="149"/>
      <c r="B227" s="185" t="s">
        <v>351</v>
      </c>
      <c r="C227" s="126"/>
      <c r="D227" s="126"/>
      <c r="E227" s="126"/>
      <c r="F227" s="126"/>
      <c r="G227" s="126"/>
      <c r="H227" s="126"/>
      <c r="I227" s="182">
        <v>41000000</v>
      </c>
      <c r="J227" s="227"/>
    </row>
    <row r="228" spans="1:11" s="141" customFormat="1" ht="17.25">
      <c r="A228" s="149"/>
      <c r="B228" s="158" t="s">
        <v>357</v>
      </c>
      <c r="C228" s="125"/>
      <c r="D228" s="125"/>
      <c r="E228" s="125"/>
      <c r="F228" s="125"/>
      <c r="G228" s="125"/>
      <c r="H228" s="125"/>
      <c r="I228" s="182">
        <v>16000000</v>
      </c>
      <c r="J228" s="227"/>
    </row>
    <row r="229" spans="1:11" s="141" customFormat="1" ht="24.6" customHeight="1">
      <c r="A229" s="149"/>
      <c r="B229" s="185" t="s">
        <v>350</v>
      </c>
      <c r="C229" s="126"/>
      <c r="D229" s="126"/>
      <c r="E229" s="126"/>
      <c r="F229" s="126"/>
      <c r="G229" s="126"/>
      <c r="H229" s="126"/>
      <c r="I229" s="182">
        <v>10000000</v>
      </c>
      <c r="J229" s="227"/>
    </row>
    <row r="230" spans="1:11" s="141" customFormat="1" ht="21.6" customHeight="1">
      <c r="A230" s="149"/>
      <c r="B230" s="158" t="s">
        <v>448</v>
      </c>
      <c r="C230" s="125"/>
      <c r="D230" s="125"/>
      <c r="E230" s="125"/>
      <c r="F230" s="125"/>
      <c r="G230" s="125"/>
      <c r="H230" s="125"/>
      <c r="I230" s="182">
        <v>149000000</v>
      </c>
      <c r="J230" s="227"/>
    </row>
    <row r="231" spans="1:11" s="141" customFormat="1" ht="21.6" customHeight="1">
      <c r="A231" s="149"/>
      <c r="B231" s="158" t="s">
        <v>47</v>
      </c>
      <c r="C231" s="125"/>
      <c r="D231" s="125"/>
      <c r="E231" s="125"/>
      <c r="F231" s="125"/>
      <c r="G231" s="125"/>
      <c r="H231" s="125"/>
      <c r="I231" s="182">
        <v>3628000000</v>
      </c>
      <c r="J231" s="227"/>
    </row>
    <row r="232" spans="1:11" s="141" customFormat="1" ht="21.6" customHeight="1">
      <c r="A232" s="149"/>
      <c r="B232" s="185" t="s">
        <v>447</v>
      </c>
      <c r="C232" s="125"/>
      <c r="D232" s="125"/>
      <c r="E232" s="125"/>
      <c r="F232" s="125"/>
      <c r="G232" s="125"/>
      <c r="H232" s="125"/>
      <c r="I232" s="182">
        <v>500000000</v>
      </c>
      <c r="J232" s="227"/>
    </row>
    <row r="233" spans="1:11" ht="33">
      <c r="A233" s="136">
        <v>2</v>
      </c>
      <c r="B233" s="137" t="s">
        <v>34</v>
      </c>
      <c r="C233" s="124"/>
      <c r="D233" s="124"/>
      <c r="E233" s="124"/>
      <c r="F233" s="124"/>
      <c r="G233" s="124"/>
      <c r="H233" s="124"/>
      <c r="I233" s="148">
        <f>I234+I241</f>
        <v>16156000000</v>
      </c>
      <c r="K233" s="128"/>
    </row>
    <row r="234" spans="1:11" ht="23.25" customHeight="1">
      <c r="A234" s="136" t="s">
        <v>12</v>
      </c>
      <c r="B234" s="153" t="s">
        <v>7</v>
      </c>
      <c r="C234" s="124"/>
      <c r="D234" s="124"/>
      <c r="E234" s="124"/>
      <c r="F234" s="124"/>
      <c r="G234" s="124"/>
      <c r="H234" s="124"/>
      <c r="I234" s="154">
        <f>I235+I239</f>
        <v>5724000000</v>
      </c>
      <c r="K234" s="128"/>
    </row>
    <row r="235" spans="1:11" ht="23.25" customHeight="1">
      <c r="A235" s="136" t="s">
        <v>14</v>
      </c>
      <c r="B235" s="153" t="s">
        <v>67</v>
      </c>
      <c r="C235" s="124">
        <v>1029500</v>
      </c>
      <c r="D235" s="124">
        <v>412</v>
      </c>
      <c r="E235" s="124">
        <v>281</v>
      </c>
      <c r="F235" s="124">
        <v>13</v>
      </c>
      <c r="G235" s="124"/>
      <c r="H235" s="124">
        <v>200</v>
      </c>
      <c r="I235" s="154">
        <f>I236</f>
        <v>4922000000</v>
      </c>
      <c r="K235" s="128"/>
    </row>
    <row r="236" spans="1:11" ht="22.15" customHeight="1">
      <c r="A236" s="136"/>
      <c r="B236" s="156" t="s">
        <v>73</v>
      </c>
      <c r="C236" s="126"/>
      <c r="D236" s="126"/>
      <c r="E236" s="126"/>
      <c r="F236" s="126"/>
      <c r="G236" s="126"/>
      <c r="H236" s="126"/>
      <c r="I236" s="157">
        <f>I237+I238</f>
        <v>4922000000</v>
      </c>
      <c r="K236" s="128"/>
    </row>
    <row r="237" spans="1:11" ht="38.25" customHeight="1">
      <c r="A237" s="136"/>
      <c r="B237" s="158" t="s">
        <v>48</v>
      </c>
      <c r="C237" s="125"/>
      <c r="D237" s="125"/>
      <c r="E237" s="125"/>
      <c r="F237" s="125"/>
      <c r="G237" s="125"/>
      <c r="H237" s="125"/>
      <c r="I237" s="159">
        <v>3854000000</v>
      </c>
      <c r="K237" s="128"/>
    </row>
    <row r="238" spans="1:11" ht="21.6" customHeight="1">
      <c r="A238" s="136"/>
      <c r="B238" s="158" t="s">
        <v>10</v>
      </c>
      <c r="C238" s="125"/>
      <c r="D238" s="125"/>
      <c r="E238" s="125"/>
      <c r="F238" s="125"/>
      <c r="G238" s="125"/>
      <c r="H238" s="125"/>
      <c r="I238" s="159">
        <v>1068000000</v>
      </c>
      <c r="K238" s="128"/>
    </row>
    <row r="239" spans="1:11" ht="21.6" customHeight="1">
      <c r="A239" s="136" t="s">
        <v>15</v>
      </c>
      <c r="B239" s="153" t="s">
        <v>69</v>
      </c>
      <c r="C239" s="124">
        <v>1029500</v>
      </c>
      <c r="D239" s="124">
        <v>412</v>
      </c>
      <c r="E239" s="124">
        <v>281</v>
      </c>
      <c r="F239" s="124">
        <v>14</v>
      </c>
      <c r="G239" s="124"/>
      <c r="H239" s="124">
        <v>200</v>
      </c>
      <c r="I239" s="138">
        <f>I240</f>
        <v>802000000</v>
      </c>
      <c r="K239" s="128"/>
    </row>
    <row r="240" spans="1:11" ht="33">
      <c r="A240" s="136"/>
      <c r="B240" s="156" t="s">
        <v>370</v>
      </c>
      <c r="C240" s="126"/>
      <c r="D240" s="126"/>
      <c r="E240" s="126"/>
      <c r="F240" s="126" t="s">
        <v>339</v>
      </c>
      <c r="G240" s="126"/>
      <c r="H240" s="126">
        <v>200</v>
      </c>
      <c r="I240" s="140">
        <v>802000000</v>
      </c>
      <c r="K240" s="128"/>
    </row>
    <row r="241" spans="1:11" ht="20.100000000000001" customHeight="1">
      <c r="A241" s="136" t="s">
        <v>13</v>
      </c>
      <c r="B241" s="153" t="s">
        <v>461</v>
      </c>
      <c r="C241" s="124">
        <v>1029500</v>
      </c>
      <c r="D241" s="124">
        <v>412</v>
      </c>
      <c r="E241" s="124">
        <v>281</v>
      </c>
      <c r="F241" s="124">
        <v>12</v>
      </c>
      <c r="G241" s="124"/>
      <c r="H241" s="124">
        <v>200</v>
      </c>
      <c r="I241" s="154">
        <f>SUM(I242:I252)+SUM(I256:I257)</f>
        <v>10432000000</v>
      </c>
      <c r="K241" s="128"/>
    </row>
    <row r="242" spans="1:11" ht="20.100000000000001" customHeight="1">
      <c r="A242" s="155" t="s">
        <v>14</v>
      </c>
      <c r="B242" s="156" t="s">
        <v>49</v>
      </c>
      <c r="C242" s="126"/>
      <c r="D242" s="126"/>
      <c r="E242" s="126"/>
      <c r="F242" s="126"/>
      <c r="G242" s="126"/>
      <c r="H242" s="126"/>
      <c r="I242" s="157">
        <v>2031000000</v>
      </c>
      <c r="K242" s="128"/>
    </row>
    <row r="243" spans="1:11" ht="20.100000000000001" customHeight="1">
      <c r="A243" s="155" t="s">
        <v>15</v>
      </c>
      <c r="B243" s="156" t="s">
        <v>50</v>
      </c>
      <c r="C243" s="126"/>
      <c r="D243" s="126"/>
      <c r="E243" s="126"/>
      <c r="F243" s="126"/>
      <c r="G243" s="126"/>
      <c r="H243" s="126"/>
      <c r="I243" s="157">
        <v>171000000</v>
      </c>
      <c r="K243" s="128"/>
    </row>
    <row r="244" spans="1:11" ht="66">
      <c r="A244" s="155" t="s">
        <v>24</v>
      </c>
      <c r="B244" s="156" t="s">
        <v>51</v>
      </c>
      <c r="C244" s="126"/>
      <c r="D244" s="126"/>
      <c r="E244" s="126"/>
      <c r="F244" s="126"/>
      <c r="G244" s="126"/>
      <c r="H244" s="126"/>
      <c r="I244" s="157">
        <v>0</v>
      </c>
      <c r="K244" s="128"/>
    </row>
    <row r="245" spans="1:11" ht="20.100000000000001" customHeight="1">
      <c r="A245" s="155" t="s">
        <v>313</v>
      </c>
      <c r="B245" s="156" t="s">
        <v>52</v>
      </c>
      <c r="C245" s="126"/>
      <c r="D245" s="126"/>
      <c r="E245" s="126"/>
      <c r="F245" s="126"/>
      <c r="G245" s="126"/>
      <c r="H245" s="126"/>
      <c r="I245" s="157">
        <v>2038000000</v>
      </c>
      <c r="K245" s="128"/>
    </row>
    <row r="246" spans="1:11" ht="20.100000000000001" customHeight="1">
      <c r="A246" s="155" t="s">
        <v>314</v>
      </c>
      <c r="B246" s="156" t="s">
        <v>53</v>
      </c>
      <c r="C246" s="126"/>
      <c r="D246" s="126"/>
      <c r="E246" s="126"/>
      <c r="F246" s="126"/>
      <c r="G246" s="126"/>
      <c r="H246" s="126"/>
      <c r="I246" s="157">
        <v>1330000000</v>
      </c>
      <c r="K246" s="128"/>
    </row>
    <row r="247" spans="1:11" ht="20.100000000000001" customHeight="1">
      <c r="A247" s="155" t="s">
        <v>315</v>
      </c>
      <c r="B247" s="156" t="s">
        <v>54</v>
      </c>
      <c r="C247" s="126"/>
      <c r="D247" s="126"/>
      <c r="E247" s="126"/>
      <c r="F247" s="126"/>
      <c r="G247" s="126"/>
      <c r="H247" s="126"/>
      <c r="I247" s="157">
        <v>70000000</v>
      </c>
      <c r="K247" s="128"/>
    </row>
    <row r="248" spans="1:11" ht="20.100000000000001" customHeight="1">
      <c r="A248" s="155" t="s">
        <v>316</v>
      </c>
      <c r="B248" s="156" t="s">
        <v>55</v>
      </c>
      <c r="C248" s="126"/>
      <c r="D248" s="126"/>
      <c r="E248" s="126"/>
      <c r="F248" s="126"/>
      <c r="G248" s="126"/>
      <c r="H248" s="126"/>
      <c r="I248" s="157">
        <v>860000000</v>
      </c>
      <c r="K248" s="128"/>
    </row>
    <row r="249" spans="1:11" ht="33">
      <c r="A249" s="155" t="s">
        <v>317</v>
      </c>
      <c r="B249" s="142" t="s">
        <v>56</v>
      </c>
      <c r="C249" s="126"/>
      <c r="D249" s="126"/>
      <c r="E249" s="126"/>
      <c r="F249" s="126"/>
      <c r="G249" s="126"/>
      <c r="H249" s="126"/>
      <c r="I249" s="157">
        <v>1490000000</v>
      </c>
      <c r="K249" s="128"/>
    </row>
    <row r="250" spans="1:11" ht="49.5">
      <c r="A250" s="155" t="s">
        <v>311</v>
      </c>
      <c r="B250" s="142" t="s">
        <v>385</v>
      </c>
      <c r="C250" s="125"/>
      <c r="D250" s="125"/>
      <c r="E250" s="125"/>
      <c r="F250" s="125"/>
      <c r="G250" s="125"/>
      <c r="H250" s="125"/>
      <c r="I250" s="157">
        <v>488000000</v>
      </c>
      <c r="K250" s="128"/>
    </row>
    <row r="251" spans="1:11" ht="33">
      <c r="A251" s="155" t="s">
        <v>318</v>
      </c>
      <c r="B251" s="156" t="s">
        <v>358</v>
      </c>
      <c r="C251" s="126"/>
      <c r="D251" s="126"/>
      <c r="E251" s="126"/>
      <c r="F251" s="126"/>
      <c r="G251" s="126"/>
      <c r="H251" s="126"/>
      <c r="I251" s="157">
        <v>0</v>
      </c>
      <c r="K251" s="128"/>
    </row>
    <row r="252" spans="1:11" ht="20.100000000000001" customHeight="1">
      <c r="A252" s="155" t="s">
        <v>319</v>
      </c>
      <c r="B252" s="142" t="s">
        <v>359</v>
      </c>
      <c r="C252" s="126"/>
      <c r="D252" s="126"/>
      <c r="E252" s="126"/>
      <c r="F252" s="126"/>
      <c r="G252" s="126"/>
      <c r="H252" s="126"/>
      <c r="I252" s="157">
        <f>SUM(I253:I255)</f>
        <v>1554000000</v>
      </c>
      <c r="K252" s="128"/>
    </row>
    <row r="253" spans="1:11" s="141" customFormat="1" ht="20.100000000000001" customHeight="1">
      <c r="A253" s="155"/>
      <c r="B253" s="187" t="s">
        <v>57</v>
      </c>
      <c r="C253" s="125"/>
      <c r="D253" s="125"/>
      <c r="E253" s="125"/>
      <c r="F253" s="125"/>
      <c r="G253" s="125"/>
      <c r="H253" s="125"/>
      <c r="I253" s="165">
        <v>104000000</v>
      </c>
      <c r="J253" s="227"/>
    </row>
    <row r="254" spans="1:11" s="141" customFormat="1" ht="20.100000000000001" customHeight="1">
      <c r="A254" s="155"/>
      <c r="B254" s="187" t="s">
        <v>58</v>
      </c>
      <c r="C254" s="125"/>
      <c r="D254" s="125"/>
      <c r="E254" s="125"/>
      <c r="F254" s="125"/>
      <c r="G254" s="125"/>
      <c r="H254" s="125"/>
      <c r="I254" s="165">
        <v>1300000000</v>
      </c>
      <c r="J254" s="227"/>
    </row>
    <row r="255" spans="1:11" s="141" customFormat="1" ht="20.100000000000001" customHeight="1">
      <c r="A255" s="155"/>
      <c r="B255" s="188" t="s">
        <v>59</v>
      </c>
      <c r="C255" s="126"/>
      <c r="D255" s="126"/>
      <c r="E255" s="126"/>
      <c r="F255" s="126"/>
      <c r="G255" s="126"/>
      <c r="H255" s="126"/>
      <c r="I255" s="165">
        <v>150000000</v>
      </c>
      <c r="J255" s="227"/>
    </row>
    <row r="256" spans="1:11" ht="20.100000000000001" customHeight="1">
      <c r="A256" s="155" t="s">
        <v>320</v>
      </c>
      <c r="B256" s="142" t="s">
        <v>60</v>
      </c>
      <c r="C256" s="126"/>
      <c r="D256" s="126"/>
      <c r="E256" s="126"/>
      <c r="F256" s="126"/>
      <c r="G256" s="126"/>
      <c r="H256" s="126"/>
      <c r="I256" s="157">
        <v>300000000</v>
      </c>
      <c r="K256" s="128"/>
    </row>
    <row r="257" spans="1:11" ht="20.100000000000001" customHeight="1">
      <c r="A257" s="155" t="s">
        <v>312</v>
      </c>
      <c r="B257" s="142" t="s">
        <v>61</v>
      </c>
      <c r="C257" s="126"/>
      <c r="D257" s="126"/>
      <c r="E257" s="126"/>
      <c r="F257" s="126"/>
      <c r="G257" s="126"/>
      <c r="H257" s="126"/>
      <c r="I257" s="157">
        <v>100000000</v>
      </c>
      <c r="K257" s="128"/>
    </row>
    <row r="258" spans="1:11" ht="33">
      <c r="A258" s="136">
        <v>3</v>
      </c>
      <c r="B258" s="137" t="s">
        <v>472</v>
      </c>
      <c r="C258" s="124">
        <v>1029500</v>
      </c>
      <c r="D258" s="124">
        <v>412</v>
      </c>
      <c r="E258" s="124">
        <v>251</v>
      </c>
      <c r="F258" s="124">
        <v>12</v>
      </c>
      <c r="G258" s="124"/>
      <c r="H258" s="124">
        <v>200</v>
      </c>
      <c r="I258" s="148">
        <f>+I259</f>
        <v>120000000</v>
      </c>
      <c r="K258" s="128"/>
    </row>
    <row r="259" spans="1:11" ht="33">
      <c r="A259" s="136"/>
      <c r="B259" s="156" t="s">
        <v>462</v>
      </c>
      <c r="C259" s="126"/>
      <c r="D259" s="126"/>
      <c r="E259" s="126"/>
      <c r="F259" s="126"/>
      <c r="G259" s="126"/>
      <c r="H259" s="126"/>
      <c r="I259" s="157">
        <v>120000000</v>
      </c>
      <c r="K259" s="128"/>
    </row>
    <row r="260" spans="1:11">
      <c r="A260" s="205" t="s">
        <v>103</v>
      </c>
      <c r="B260" s="206" t="s">
        <v>307</v>
      </c>
      <c r="C260" s="207">
        <v>1030351</v>
      </c>
      <c r="D260" s="207">
        <v>412</v>
      </c>
      <c r="E260" s="207"/>
      <c r="F260" s="207"/>
      <c r="G260" s="207"/>
      <c r="H260" s="207"/>
      <c r="I260" s="208">
        <f>I261</f>
        <v>11099000000</v>
      </c>
      <c r="J260" s="225">
        <f>10000000+I260</f>
        <v>11109000000</v>
      </c>
      <c r="K260" s="128"/>
    </row>
    <row r="261" spans="1:11" ht="33">
      <c r="A261" s="136"/>
      <c r="B261" s="137" t="s">
        <v>34</v>
      </c>
      <c r="C261" s="124"/>
      <c r="D261" s="124"/>
      <c r="E261" s="124"/>
      <c r="F261" s="124"/>
      <c r="G261" s="124"/>
      <c r="H261" s="124"/>
      <c r="I261" s="148">
        <f>+I262+I270</f>
        <v>11099000000</v>
      </c>
      <c r="K261" s="128"/>
    </row>
    <row r="262" spans="1:11" ht="20.100000000000001" customHeight="1">
      <c r="A262" s="136">
        <v>1</v>
      </c>
      <c r="B262" s="153" t="s">
        <v>7</v>
      </c>
      <c r="C262" s="124"/>
      <c r="D262" s="124"/>
      <c r="E262" s="124"/>
      <c r="F262" s="124"/>
      <c r="G262" s="124"/>
      <c r="H262" s="124"/>
      <c r="I262" s="154">
        <f>I263+I268</f>
        <v>5401000000</v>
      </c>
      <c r="K262" s="128"/>
    </row>
    <row r="263" spans="1:11" ht="20.100000000000001" customHeight="1">
      <c r="A263" s="136" t="s">
        <v>8</v>
      </c>
      <c r="B263" s="153" t="s">
        <v>74</v>
      </c>
      <c r="C263" s="124">
        <v>1030351</v>
      </c>
      <c r="D263" s="124">
        <v>412</v>
      </c>
      <c r="E263" s="124">
        <v>281</v>
      </c>
      <c r="F263" s="124">
        <v>13</v>
      </c>
      <c r="G263" s="124"/>
      <c r="H263" s="124">
        <v>200</v>
      </c>
      <c r="I263" s="154">
        <f>I264+I267</f>
        <v>4677000000</v>
      </c>
      <c r="K263" s="128"/>
    </row>
    <row r="264" spans="1:11" ht="20.100000000000001" customHeight="1">
      <c r="A264" s="155" t="s">
        <v>14</v>
      </c>
      <c r="B264" s="156" t="s">
        <v>329</v>
      </c>
      <c r="C264" s="126"/>
      <c r="D264" s="126"/>
      <c r="E264" s="126"/>
      <c r="F264" s="126"/>
      <c r="G264" s="126"/>
      <c r="H264" s="126"/>
      <c r="I264" s="157">
        <f>I265+I266</f>
        <v>4521000000</v>
      </c>
      <c r="K264" s="128"/>
    </row>
    <row r="265" spans="1:11" ht="33">
      <c r="A265" s="155"/>
      <c r="B265" s="158" t="s">
        <v>62</v>
      </c>
      <c r="C265" s="125"/>
      <c r="D265" s="125"/>
      <c r="E265" s="125"/>
      <c r="F265" s="125"/>
      <c r="G265" s="125"/>
      <c r="H265" s="125"/>
      <c r="I265" s="159">
        <v>3482000000</v>
      </c>
      <c r="K265" s="128"/>
    </row>
    <row r="266" spans="1:11">
      <c r="A266" s="155"/>
      <c r="B266" s="158" t="s">
        <v>10</v>
      </c>
      <c r="C266" s="125"/>
      <c r="D266" s="125"/>
      <c r="E266" s="125"/>
      <c r="F266" s="125"/>
      <c r="G266" s="125"/>
      <c r="H266" s="125"/>
      <c r="I266" s="140">
        <v>1039000000</v>
      </c>
      <c r="K266" s="128"/>
    </row>
    <row r="267" spans="1:11" ht="33">
      <c r="A267" s="155" t="s">
        <v>15</v>
      </c>
      <c r="B267" s="156" t="s">
        <v>375</v>
      </c>
      <c r="C267" s="126"/>
      <c r="D267" s="126"/>
      <c r="E267" s="126"/>
      <c r="F267" s="126"/>
      <c r="G267" s="126"/>
      <c r="H267" s="126"/>
      <c r="I267" s="140">
        <v>156000000</v>
      </c>
      <c r="K267" s="128"/>
    </row>
    <row r="268" spans="1:11" ht="20.100000000000001" customHeight="1">
      <c r="A268" s="136" t="s">
        <v>9</v>
      </c>
      <c r="B268" s="153" t="s">
        <v>69</v>
      </c>
      <c r="C268" s="124">
        <v>1030351</v>
      </c>
      <c r="D268" s="124">
        <v>412</v>
      </c>
      <c r="E268" s="124">
        <v>281</v>
      </c>
      <c r="F268" s="124">
        <v>14</v>
      </c>
      <c r="G268" s="124"/>
      <c r="H268" s="124">
        <v>200</v>
      </c>
      <c r="I268" s="138">
        <f>I269</f>
        <v>724000000</v>
      </c>
      <c r="K268" s="128"/>
    </row>
    <row r="269" spans="1:11" ht="33">
      <c r="A269" s="136"/>
      <c r="B269" s="156" t="s">
        <v>371</v>
      </c>
      <c r="C269" s="126"/>
      <c r="D269" s="126"/>
      <c r="E269" s="126"/>
      <c r="F269" s="126" t="s">
        <v>339</v>
      </c>
      <c r="G269" s="126"/>
      <c r="H269" s="126">
        <v>200</v>
      </c>
      <c r="I269" s="140">
        <v>724000000</v>
      </c>
      <c r="K269" s="128"/>
    </row>
    <row r="270" spans="1:11" ht="20.100000000000001" customHeight="1">
      <c r="A270" s="136">
        <v>2</v>
      </c>
      <c r="B270" s="153" t="s">
        <v>461</v>
      </c>
      <c r="C270" s="124">
        <v>1030351</v>
      </c>
      <c r="D270" s="124">
        <v>412</v>
      </c>
      <c r="E270" s="124">
        <v>281</v>
      </c>
      <c r="F270" s="124">
        <v>12</v>
      </c>
      <c r="G270" s="124"/>
      <c r="H270" s="124">
        <v>200</v>
      </c>
      <c r="I270" s="154">
        <f>+I271+I272</f>
        <v>5698000000</v>
      </c>
      <c r="K270" s="128"/>
    </row>
    <row r="271" spans="1:11" ht="20.100000000000001" customHeight="1">
      <c r="A271" s="155" t="s">
        <v>12</v>
      </c>
      <c r="B271" s="161" t="s">
        <v>321</v>
      </c>
      <c r="C271" s="162"/>
      <c r="D271" s="162"/>
      <c r="E271" s="162"/>
      <c r="F271" s="162"/>
      <c r="G271" s="162"/>
      <c r="H271" s="162"/>
      <c r="I271" s="157">
        <v>60000000</v>
      </c>
      <c r="K271" s="128"/>
    </row>
    <row r="272" spans="1:11" ht="20.100000000000001" customHeight="1">
      <c r="A272" s="155" t="s">
        <v>13</v>
      </c>
      <c r="B272" s="161" t="s">
        <v>473</v>
      </c>
      <c r="C272" s="162"/>
      <c r="D272" s="162"/>
      <c r="E272" s="162"/>
      <c r="F272" s="162"/>
      <c r="G272" s="162"/>
      <c r="H272" s="162"/>
      <c r="I272" s="157">
        <f>+I273+I274+I275</f>
        <v>5638000000</v>
      </c>
      <c r="K272" s="128"/>
    </row>
    <row r="273" spans="1:11" ht="20.100000000000001" customHeight="1">
      <c r="A273" s="155" t="s">
        <v>14</v>
      </c>
      <c r="B273" s="161" t="s">
        <v>322</v>
      </c>
      <c r="C273" s="162"/>
      <c r="D273" s="162"/>
      <c r="E273" s="162"/>
      <c r="F273" s="162"/>
      <c r="G273" s="162"/>
      <c r="H273" s="162"/>
      <c r="I273" s="157">
        <v>30000000</v>
      </c>
      <c r="K273" s="128"/>
    </row>
    <row r="274" spans="1:11" ht="33">
      <c r="A274" s="155" t="s">
        <v>15</v>
      </c>
      <c r="B274" s="142" t="s">
        <v>323</v>
      </c>
      <c r="C274" s="126"/>
      <c r="D274" s="126"/>
      <c r="E274" s="126"/>
      <c r="F274" s="126"/>
      <c r="G274" s="126"/>
      <c r="H274" s="126"/>
      <c r="I274" s="157">
        <v>3960000000</v>
      </c>
      <c r="K274" s="128"/>
    </row>
    <row r="275" spans="1:11" ht="21.75" customHeight="1">
      <c r="A275" s="155" t="s">
        <v>24</v>
      </c>
      <c r="B275" s="142" t="s">
        <v>324</v>
      </c>
      <c r="C275" s="126"/>
      <c r="D275" s="126"/>
      <c r="E275" s="126"/>
      <c r="F275" s="126"/>
      <c r="G275" s="126"/>
      <c r="H275" s="126"/>
      <c r="I275" s="157">
        <f>SUM(I276:I279)</f>
        <v>1648000000</v>
      </c>
      <c r="K275" s="128"/>
    </row>
    <row r="276" spans="1:11">
      <c r="A276" s="155"/>
      <c r="B276" s="188" t="s">
        <v>325</v>
      </c>
      <c r="C276" s="126"/>
      <c r="D276" s="126"/>
      <c r="E276" s="126"/>
      <c r="F276" s="126"/>
      <c r="G276" s="126"/>
      <c r="H276" s="126"/>
      <c r="I276" s="165">
        <v>610000000</v>
      </c>
      <c r="K276" s="128"/>
    </row>
    <row r="277" spans="1:11">
      <c r="A277" s="155"/>
      <c r="B277" s="188" t="s">
        <v>326</v>
      </c>
      <c r="C277" s="126"/>
      <c r="D277" s="126"/>
      <c r="E277" s="126"/>
      <c r="F277" s="126"/>
      <c r="G277" s="126"/>
      <c r="H277" s="126"/>
      <c r="I277" s="165">
        <v>198000000</v>
      </c>
      <c r="K277" s="128"/>
    </row>
    <row r="278" spans="1:11">
      <c r="A278" s="155"/>
      <c r="B278" s="188" t="s">
        <v>327</v>
      </c>
      <c r="C278" s="126"/>
      <c r="D278" s="126"/>
      <c r="E278" s="126"/>
      <c r="F278" s="126"/>
      <c r="G278" s="126"/>
      <c r="H278" s="126"/>
      <c r="I278" s="165">
        <v>664000000</v>
      </c>
      <c r="K278" s="128"/>
    </row>
    <row r="279" spans="1:11">
      <c r="A279" s="155"/>
      <c r="B279" s="188" t="s">
        <v>328</v>
      </c>
      <c r="C279" s="126"/>
      <c r="D279" s="126"/>
      <c r="E279" s="126"/>
      <c r="F279" s="126"/>
      <c r="G279" s="126"/>
      <c r="H279" s="126"/>
      <c r="I279" s="165">
        <v>176000000</v>
      </c>
      <c r="K279" s="128"/>
    </row>
    <row r="280" spans="1:11">
      <c r="A280" s="205" t="s">
        <v>104</v>
      </c>
      <c r="B280" s="206" t="s">
        <v>309</v>
      </c>
      <c r="C280" s="207">
        <v>1030702</v>
      </c>
      <c r="D280" s="207">
        <v>412</v>
      </c>
      <c r="E280" s="207"/>
      <c r="F280" s="207"/>
      <c r="G280" s="207"/>
      <c r="H280" s="207"/>
      <c r="I280" s="208">
        <f>I281</f>
        <v>9782000000</v>
      </c>
      <c r="J280" s="225">
        <f>10861000000+I280</f>
        <v>20643000000</v>
      </c>
      <c r="K280" s="128"/>
    </row>
    <row r="281" spans="1:11" ht="33">
      <c r="A281" s="136" t="s">
        <v>11</v>
      </c>
      <c r="B281" s="137" t="s">
        <v>474</v>
      </c>
      <c r="C281" s="124"/>
      <c r="D281" s="124"/>
      <c r="E281" s="124"/>
      <c r="F281" s="124"/>
      <c r="G281" s="124"/>
      <c r="H281" s="124"/>
      <c r="I281" s="148">
        <f>I282+I290</f>
        <v>9782000000</v>
      </c>
      <c r="K281" s="128"/>
    </row>
    <row r="282" spans="1:11" s="171" customFormat="1" ht="20.100000000000001" customHeight="1">
      <c r="A282" s="136">
        <v>1</v>
      </c>
      <c r="B282" s="153" t="s">
        <v>7</v>
      </c>
      <c r="C282" s="146"/>
      <c r="D282" s="146"/>
      <c r="E282" s="146"/>
      <c r="F282" s="146"/>
      <c r="G282" s="146"/>
      <c r="H282" s="146"/>
      <c r="I282" s="154">
        <f>I283+I288</f>
        <v>3855000000</v>
      </c>
      <c r="J282" s="231"/>
    </row>
    <row r="283" spans="1:11" s="141" customFormat="1" ht="20.100000000000001" customHeight="1">
      <c r="A283" s="149" t="s">
        <v>8</v>
      </c>
      <c r="B283" s="150" t="s">
        <v>74</v>
      </c>
      <c r="C283" s="124">
        <v>1030702</v>
      </c>
      <c r="D283" s="124">
        <v>412</v>
      </c>
      <c r="E283" s="124">
        <v>282</v>
      </c>
      <c r="F283" s="124">
        <v>13</v>
      </c>
      <c r="G283" s="124"/>
      <c r="H283" s="124">
        <v>200</v>
      </c>
      <c r="I283" s="151">
        <f>I284+I287</f>
        <v>3349000000</v>
      </c>
      <c r="J283" s="227"/>
    </row>
    <row r="284" spans="1:11" ht="20.100000000000001" customHeight="1">
      <c r="A284" s="155" t="s">
        <v>14</v>
      </c>
      <c r="B284" s="156" t="s">
        <v>330</v>
      </c>
      <c r="C284" s="126"/>
      <c r="D284" s="126"/>
      <c r="E284" s="126"/>
      <c r="F284" s="126"/>
      <c r="G284" s="126"/>
      <c r="H284" s="126"/>
      <c r="I284" s="157">
        <f>I285+I286</f>
        <v>3123000000</v>
      </c>
      <c r="K284" s="128"/>
    </row>
    <row r="285" spans="1:11" ht="32.25" customHeight="1">
      <c r="A285" s="136"/>
      <c r="B285" s="158" t="s">
        <v>449</v>
      </c>
      <c r="C285" s="125"/>
      <c r="D285" s="125"/>
      <c r="E285" s="125"/>
      <c r="F285" s="125"/>
      <c r="G285" s="125"/>
      <c r="H285" s="125"/>
      <c r="I285" s="159">
        <v>2433000000</v>
      </c>
      <c r="K285" s="128"/>
    </row>
    <row r="286" spans="1:11">
      <c r="A286" s="136"/>
      <c r="B286" s="158" t="s">
        <v>10</v>
      </c>
      <c r="C286" s="125"/>
      <c r="D286" s="125"/>
      <c r="E286" s="125"/>
      <c r="F286" s="125"/>
      <c r="G286" s="125"/>
      <c r="H286" s="125"/>
      <c r="I286" s="159">
        <v>690000000</v>
      </c>
      <c r="K286" s="128"/>
    </row>
    <row r="287" spans="1:11" ht="33">
      <c r="A287" s="155" t="s">
        <v>15</v>
      </c>
      <c r="B287" s="156" t="s">
        <v>374</v>
      </c>
      <c r="C287" s="126"/>
      <c r="D287" s="126"/>
      <c r="E287" s="126"/>
      <c r="F287" s="126"/>
      <c r="G287" s="126"/>
      <c r="H287" s="126"/>
      <c r="I287" s="140">
        <v>226000000</v>
      </c>
      <c r="K287" s="128"/>
    </row>
    <row r="288" spans="1:11" s="141" customFormat="1" ht="20.100000000000001" customHeight="1">
      <c r="A288" s="149" t="s">
        <v>9</v>
      </c>
      <c r="B288" s="150" t="s">
        <v>69</v>
      </c>
      <c r="C288" s="124">
        <v>1030702</v>
      </c>
      <c r="D288" s="124">
        <v>412</v>
      </c>
      <c r="E288" s="124">
        <v>282</v>
      </c>
      <c r="F288" s="124">
        <v>14</v>
      </c>
      <c r="G288" s="124"/>
      <c r="H288" s="124">
        <v>200</v>
      </c>
      <c r="I288" s="173">
        <f>I289</f>
        <v>506000000</v>
      </c>
      <c r="J288" s="227"/>
    </row>
    <row r="289" spans="1:11" ht="33">
      <c r="A289" s="136"/>
      <c r="B289" s="156" t="s">
        <v>372</v>
      </c>
      <c r="C289" s="126"/>
      <c r="D289" s="126"/>
      <c r="E289" s="126"/>
      <c r="F289" s="126" t="s">
        <v>339</v>
      </c>
      <c r="G289" s="126"/>
      <c r="H289" s="126">
        <v>200</v>
      </c>
      <c r="I289" s="140">
        <v>506000000</v>
      </c>
      <c r="K289" s="128"/>
    </row>
    <row r="290" spans="1:11" ht="20.100000000000001" customHeight="1">
      <c r="A290" s="136">
        <v>2</v>
      </c>
      <c r="B290" s="153" t="s">
        <v>461</v>
      </c>
      <c r="C290" s="124">
        <v>1030702</v>
      </c>
      <c r="D290" s="124">
        <v>412</v>
      </c>
      <c r="E290" s="124">
        <v>282</v>
      </c>
      <c r="F290" s="124">
        <v>12</v>
      </c>
      <c r="G290" s="124"/>
      <c r="H290" s="124">
        <v>200</v>
      </c>
      <c r="I290" s="154">
        <f>SUM(I291:I293)</f>
        <v>5927000000</v>
      </c>
      <c r="K290" s="128"/>
    </row>
    <row r="291" spans="1:11" ht="20.100000000000001" customHeight="1">
      <c r="A291" s="155" t="s">
        <v>14</v>
      </c>
      <c r="B291" s="161" t="s">
        <v>36</v>
      </c>
      <c r="C291" s="162"/>
      <c r="D291" s="162"/>
      <c r="E291" s="162"/>
      <c r="F291" s="162"/>
      <c r="G291" s="162"/>
      <c r="H291" s="162"/>
      <c r="I291" s="157">
        <v>78000000</v>
      </c>
      <c r="K291" s="128"/>
    </row>
    <row r="292" spans="1:11" ht="20.100000000000001" customHeight="1">
      <c r="A292" s="155" t="s">
        <v>15</v>
      </c>
      <c r="B292" s="161" t="s">
        <v>75</v>
      </c>
      <c r="C292" s="162"/>
      <c r="D292" s="162"/>
      <c r="E292" s="162"/>
      <c r="F292" s="162"/>
      <c r="G292" s="162"/>
      <c r="H292" s="162"/>
      <c r="I292" s="127">
        <v>691000000</v>
      </c>
      <c r="K292" s="128"/>
    </row>
    <row r="293" spans="1:11" ht="20.100000000000001" customHeight="1">
      <c r="A293" s="155" t="s">
        <v>24</v>
      </c>
      <c r="B293" s="161" t="s">
        <v>76</v>
      </c>
      <c r="C293" s="162"/>
      <c r="D293" s="162"/>
      <c r="E293" s="162"/>
      <c r="F293" s="162"/>
      <c r="G293" s="162"/>
      <c r="H293" s="162"/>
      <c r="I293" s="127">
        <f>SUM(I294:I296)</f>
        <v>5158000000</v>
      </c>
      <c r="K293" s="128"/>
    </row>
    <row r="294" spans="1:11" s="141" customFormat="1" ht="20.100000000000001" customHeight="1">
      <c r="A294" s="149"/>
      <c r="B294" s="181" t="s">
        <v>63</v>
      </c>
      <c r="C294" s="180"/>
      <c r="D294" s="180"/>
      <c r="E294" s="180"/>
      <c r="F294" s="180"/>
      <c r="G294" s="180"/>
      <c r="H294" s="180"/>
      <c r="I294" s="182">
        <v>4447000000</v>
      </c>
      <c r="J294" s="227"/>
    </row>
    <row r="295" spans="1:11" s="141" customFormat="1" ht="33">
      <c r="A295" s="149"/>
      <c r="B295" s="181" t="s">
        <v>64</v>
      </c>
      <c r="C295" s="180"/>
      <c r="D295" s="180"/>
      <c r="E295" s="180"/>
      <c r="F295" s="180"/>
      <c r="G295" s="180"/>
      <c r="H295" s="180"/>
      <c r="I295" s="182">
        <v>550000000</v>
      </c>
      <c r="J295" s="227"/>
    </row>
    <row r="296" spans="1:11" s="141" customFormat="1" ht="20.100000000000001" customHeight="1">
      <c r="A296" s="149"/>
      <c r="B296" s="181" t="s">
        <v>27</v>
      </c>
      <c r="C296" s="180"/>
      <c r="D296" s="180"/>
      <c r="E296" s="180"/>
      <c r="F296" s="180"/>
      <c r="G296" s="180"/>
      <c r="H296" s="180"/>
      <c r="I296" s="182">
        <v>161000000</v>
      </c>
      <c r="J296" s="227"/>
    </row>
    <row r="297" spans="1:11" ht="33">
      <c r="A297" s="205" t="s">
        <v>105</v>
      </c>
      <c r="B297" s="206" t="s">
        <v>308</v>
      </c>
      <c r="C297" s="207">
        <v>1110440</v>
      </c>
      <c r="D297" s="207">
        <v>412</v>
      </c>
      <c r="E297" s="207"/>
      <c r="F297" s="207"/>
      <c r="G297" s="207"/>
      <c r="H297" s="207"/>
      <c r="I297" s="208">
        <f>I298</f>
        <v>3453000000</v>
      </c>
      <c r="J297" s="225">
        <f>I297+10000000</f>
        <v>3463000000</v>
      </c>
      <c r="K297" s="128"/>
    </row>
    <row r="298" spans="1:11">
      <c r="A298" s="136" t="s">
        <v>11</v>
      </c>
      <c r="B298" s="137" t="s">
        <v>463</v>
      </c>
      <c r="C298" s="124"/>
      <c r="D298" s="124"/>
      <c r="E298" s="124"/>
      <c r="F298" s="124"/>
      <c r="G298" s="124"/>
      <c r="H298" s="124"/>
      <c r="I298" s="148">
        <f>I299+I306</f>
        <v>3453000000</v>
      </c>
      <c r="K298" s="128"/>
    </row>
    <row r="299" spans="1:11" ht="20.100000000000001" customHeight="1">
      <c r="A299" s="136">
        <v>1</v>
      </c>
      <c r="B299" s="153" t="s">
        <v>360</v>
      </c>
      <c r="C299" s="124">
        <v>1110440</v>
      </c>
      <c r="D299" s="124">
        <v>412</v>
      </c>
      <c r="E299" s="124">
        <v>283</v>
      </c>
      <c r="F299" s="124">
        <v>13</v>
      </c>
      <c r="G299" s="124"/>
      <c r="H299" s="124">
        <v>200</v>
      </c>
      <c r="I299" s="154">
        <f>I301+I304</f>
        <v>738000000</v>
      </c>
      <c r="K299" s="128"/>
    </row>
    <row r="300" spans="1:11" ht="20.100000000000001" customHeight="1">
      <c r="A300" s="136" t="s">
        <v>8</v>
      </c>
      <c r="B300" s="153" t="s">
        <v>67</v>
      </c>
      <c r="C300" s="124"/>
      <c r="D300" s="124"/>
      <c r="E300" s="124"/>
      <c r="F300" s="124"/>
      <c r="G300" s="124"/>
      <c r="H300" s="124"/>
      <c r="I300" s="154">
        <f>+I301</f>
        <v>710000000</v>
      </c>
      <c r="K300" s="128"/>
    </row>
    <row r="301" spans="1:11" ht="20.100000000000001" customHeight="1">
      <c r="A301" s="136"/>
      <c r="B301" s="156" t="s">
        <v>46</v>
      </c>
      <c r="C301" s="126"/>
      <c r="D301" s="126"/>
      <c r="E301" s="126"/>
      <c r="F301" s="126"/>
      <c r="G301" s="126"/>
      <c r="H301" s="126"/>
      <c r="I301" s="157">
        <f>I302</f>
        <v>710000000</v>
      </c>
      <c r="K301" s="128"/>
    </row>
    <row r="302" spans="1:11" ht="33">
      <c r="A302" s="136"/>
      <c r="B302" s="158" t="s">
        <v>65</v>
      </c>
      <c r="C302" s="125"/>
      <c r="D302" s="125"/>
      <c r="E302" s="125"/>
      <c r="F302" s="125"/>
      <c r="G302" s="125"/>
      <c r="H302" s="125"/>
      <c r="I302" s="159">
        <v>710000000</v>
      </c>
      <c r="K302" s="128"/>
    </row>
    <row r="303" spans="1:11">
      <c r="A303" s="136"/>
      <c r="B303" s="158" t="s">
        <v>10</v>
      </c>
      <c r="C303" s="125"/>
      <c r="D303" s="125"/>
      <c r="E303" s="125"/>
      <c r="F303" s="125"/>
      <c r="G303" s="125"/>
      <c r="H303" s="125"/>
      <c r="I303" s="140">
        <v>0</v>
      </c>
      <c r="K303" s="128"/>
    </row>
    <row r="304" spans="1:11" s="145" customFormat="1">
      <c r="A304" s="136" t="s">
        <v>9</v>
      </c>
      <c r="B304" s="153" t="s">
        <v>69</v>
      </c>
      <c r="C304" s="124">
        <v>1110440</v>
      </c>
      <c r="D304" s="124">
        <v>412</v>
      </c>
      <c r="E304" s="124">
        <v>283</v>
      </c>
      <c r="F304" s="124">
        <v>14</v>
      </c>
      <c r="G304" s="124"/>
      <c r="H304" s="124">
        <v>200</v>
      </c>
      <c r="I304" s="138">
        <f>+I305</f>
        <v>28000000</v>
      </c>
      <c r="J304" s="228"/>
    </row>
    <row r="305" spans="1:11" ht="33">
      <c r="A305" s="136"/>
      <c r="B305" s="156" t="s">
        <v>373</v>
      </c>
      <c r="C305" s="125"/>
      <c r="D305" s="125"/>
      <c r="E305" s="125"/>
      <c r="F305" s="126" t="s">
        <v>339</v>
      </c>
      <c r="G305" s="125"/>
      <c r="H305" s="125"/>
      <c r="I305" s="140">
        <v>28000000</v>
      </c>
      <c r="K305" s="128"/>
    </row>
    <row r="306" spans="1:11" ht="36.75" customHeight="1">
      <c r="A306" s="136">
        <v>2</v>
      </c>
      <c r="B306" s="153" t="s">
        <v>464</v>
      </c>
      <c r="C306" s="124">
        <v>1110440</v>
      </c>
      <c r="D306" s="124">
        <v>412</v>
      </c>
      <c r="E306" s="124">
        <v>283</v>
      </c>
      <c r="F306" s="124">
        <v>12</v>
      </c>
      <c r="G306" s="124"/>
      <c r="H306" s="124">
        <v>200</v>
      </c>
      <c r="I306" s="154">
        <f>I307+I308</f>
        <v>2715000000</v>
      </c>
      <c r="K306" s="128"/>
    </row>
    <row r="307" spans="1:11" ht="42" customHeight="1">
      <c r="A307" s="155" t="s">
        <v>14</v>
      </c>
      <c r="B307" s="139" t="s">
        <v>77</v>
      </c>
      <c r="C307" s="125"/>
      <c r="D307" s="125"/>
      <c r="E307" s="125"/>
      <c r="F307" s="125"/>
      <c r="G307" s="125"/>
      <c r="H307" s="125"/>
      <c r="I307" s="127">
        <v>500000000</v>
      </c>
      <c r="K307" s="128"/>
    </row>
    <row r="308" spans="1:11" ht="40.5" customHeight="1">
      <c r="A308" s="155" t="s">
        <v>15</v>
      </c>
      <c r="B308" s="139" t="s">
        <v>361</v>
      </c>
      <c r="C308" s="125"/>
      <c r="D308" s="125"/>
      <c r="E308" s="125"/>
      <c r="F308" s="125"/>
      <c r="G308" s="125"/>
      <c r="H308" s="125"/>
      <c r="I308" s="127">
        <v>2215000000</v>
      </c>
      <c r="K308" s="128"/>
    </row>
    <row r="309" spans="1:11" s="147" customFormat="1" ht="33">
      <c r="A309" s="218" t="s">
        <v>410</v>
      </c>
      <c r="B309" s="219" t="s">
        <v>342</v>
      </c>
      <c r="C309" s="220"/>
      <c r="D309" s="220"/>
      <c r="E309" s="220"/>
      <c r="F309" s="220"/>
      <c r="G309" s="220"/>
      <c r="H309" s="220"/>
      <c r="I309" s="221">
        <f>I310+I358</f>
        <v>11447000000</v>
      </c>
      <c r="J309" s="229"/>
    </row>
    <row r="310" spans="1:11" s="171" customFormat="1" ht="21" customHeight="1">
      <c r="A310" s="136" t="s">
        <v>411</v>
      </c>
      <c r="B310" s="190" t="s">
        <v>107</v>
      </c>
      <c r="C310" s="191"/>
      <c r="D310" s="191"/>
      <c r="E310" s="191"/>
      <c r="F310" s="191"/>
      <c r="G310" s="191"/>
      <c r="H310" s="191"/>
      <c r="I310" s="183">
        <f>I311+I328+I333+I338+I343+I348+I353</f>
        <v>586000000</v>
      </c>
      <c r="J310" s="231"/>
    </row>
    <row r="311" spans="1:11" ht="22.5" customHeight="1">
      <c r="A311" s="136" t="s">
        <v>3</v>
      </c>
      <c r="B311" s="137" t="s">
        <v>302</v>
      </c>
      <c r="C311" s="124">
        <v>1030253</v>
      </c>
      <c r="D311" s="124">
        <v>412</v>
      </c>
      <c r="E311" s="124"/>
      <c r="F311" s="124"/>
      <c r="G311" s="124"/>
      <c r="H311" s="124"/>
      <c r="I311" s="183">
        <f>I316+I312</f>
        <v>531000000</v>
      </c>
      <c r="K311" s="128"/>
    </row>
    <row r="312" spans="1:11">
      <c r="A312" s="136">
        <v>1</v>
      </c>
      <c r="B312" s="153" t="s">
        <v>95</v>
      </c>
      <c r="C312" s="124">
        <v>1030253</v>
      </c>
      <c r="D312" s="124">
        <v>412</v>
      </c>
      <c r="E312" s="143" t="s">
        <v>348</v>
      </c>
      <c r="F312" s="124">
        <v>12</v>
      </c>
      <c r="G312" s="143" t="s">
        <v>159</v>
      </c>
      <c r="H312" s="124">
        <v>100</v>
      </c>
      <c r="I312" s="183">
        <f>I313</f>
        <v>28000000</v>
      </c>
      <c r="K312" s="128"/>
    </row>
    <row r="313" spans="1:11" s="141" customFormat="1" ht="45" customHeight="1">
      <c r="A313" s="149"/>
      <c r="B313" s="264" t="s">
        <v>465</v>
      </c>
      <c r="C313" s="265"/>
      <c r="D313" s="265"/>
      <c r="E313" s="265"/>
      <c r="F313" s="265"/>
      <c r="G313" s="265"/>
      <c r="H313" s="265"/>
      <c r="I313" s="170">
        <f>I314</f>
        <v>28000000</v>
      </c>
      <c r="J313" s="227"/>
    </row>
    <row r="314" spans="1:11" ht="39" customHeight="1">
      <c r="A314" s="136"/>
      <c r="B314" s="193" t="s">
        <v>377</v>
      </c>
      <c r="C314" s="194"/>
      <c r="D314" s="194"/>
      <c r="E314" s="194"/>
      <c r="F314" s="194"/>
      <c r="G314" s="194" t="s">
        <v>172</v>
      </c>
      <c r="H314" s="194"/>
      <c r="I314" s="127">
        <f>+I315</f>
        <v>28000000</v>
      </c>
    </row>
    <row r="315" spans="1:11" ht="39" customHeight="1">
      <c r="A315" s="136"/>
      <c r="B315" s="193" t="s">
        <v>174</v>
      </c>
      <c r="C315" s="194"/>
      <c r="D315" s="194"/>
      <c r="E315" s="194"/>
      <c r="F315" s="194"/>
      <c r="G315" s="194"/>
      <c r="H315" s="194"/>
      <c r="I315" s="127">
        <v>28000000</v>
      </c>
    </row>
    <row r="316" spans="1:11" ht="33">
      <c r="A316" s="136">
        <v>2</v>
      </c>
      <c r="B316" s="153" t="s">
        <v>106</v>
      </c>
      <c r="C316" s="124">
        <v>1030253</v>
      </c>
      <c r="D316" s="124">
        <v>412</v>
      </c>
      <c r="E316" s="124"/>
      <c r="F316" s="124"/>
      <c r="G316" s="143" t="s">
        <v>176</v>
      </c>
      <c r="H316" s="124"/>
      <c r="I316" s="183">
        <f>I317+I320+I323</f>
        <v>503000000</v>
      </c>
      <c r="K316" s="128"/>
    </row>
    <row r="317" spans="1:11" s="141" customFormat="1" ht="34.5">
      <c r="A317" s="149" t="s">
        <v>12</v>
      </c>
      <c r="B317" s="150" t="s">
        <v>469</v>
      </c>
      <c r="C317" s="124">
        <v>1030253</v>
      </c>
      <c r="D317" s="124">
        <v>412</v>
      </c>
      <c r="E317" s="124">
        <v>281</v>
      </c>
      <c r="F317" s="124">
        <v>12</v>
      </c>
      <c r="G317" s="143" t="s">
        <v>180</v>
      </c>
      <c r="H317" s="124">
        <v>100</v>
      </c>
      <c r="I317" s="170">
        <f>I318</f>
        <v>104000000</v>
      </c>
      <c r="J317" s="227"/>
    </row>
    <row r="318" spans="1:11" ht="148.5">
      <c r="A318" s="155" t="s">
        <v>14</v>
      </c>
      <c r="B318" s="156" t="s">
        <v>379</v>
      </c>
      <c r="C318" s="126"/>
      <c r="D318" s="126"/>
      <c r="E318" s="126"/>
      <c r="F318" s="126"/>
      <c r="G318" s="126"/>
      <c r="H318" s="126"/>
      <c r="I318" s="127">
        <f>+I319</f>
        <v>104000000</v>
      </c>
      <c r="K318" s="128"/>
    </row>
    <row r="319" spans="1:11" s="141" customFormat="1">
      <c r="A319" s="195"/>
      <c r="B319" s="185" t="s">
        <v>380</v>
      </c>
      <c r="C319" s="126"/>
      <c r="D319" s="126"/>
      <c r="E319" s="126"/>
      <c r="F319" s="126"/>
      <c r="G319" s="126"/>
      <c r="H319" s="126"/>
      <c r="I319" s="182">
        <v>104000000</v>
      </c>
      <c r="J319" s="227"/>
    </row>
    <row r="320" spans="1:11" s="141" customFormat="1" ht="34.5">
      <c r="A320" s="149" t="s">
        <v>13</v>
      </c>
      <c r="B320" s="150" t="s">
        <v>468</v>
      </c>
      <c r="C320" s="124">
        <v>1030253</v>
      </c>
      <c r="D320" s="124">
        <v>412</v>
      </c>
      <c r="E320" s="124">
        <v>278</v>
      </c>
      <c r="F320" s="124">
        <v>12</v>
      </c>
      <c r="G320" s="143" t="s">
        <v>186</v>
      </c>
      <c r="H320" s="124">
        <v>100</v>
      </c>
      <c r="I320" s="170">
        <f>I321</f>
        <v>25000000</v>
      </c>
      <c r="J320" s="227"/>
    </row>
    <row r="321" spans="1:11" ht="49.5">
      <c r="A321" s="155" t="s">
        <v>14</v>
      </c>
      <c r="B321" s="156" t="s">
        <v>185</v>
      </c>
      <c r="C321" s="126"/>
      <c r="D321" s="126"/>
      <c r="E321" s="126"/>
      <c r="F321" s="126"/>
      <c r="G321" s="126"/>
      <c r="H321" s="126"/>
      <c r="I321" s="127">
        <f>SUM(I322:I322)</f>
        <v>25000000</v>
      </c>
      <c r="K321" s="128"/>
    </row>
    <row r="322" spans="1:11" s="141" customFormat="1" ht="49.5">
      <c r="A322" s="149"/>
      <c r="B322" s="185" t="s">
        <v>381</v>
      </c>
      <c r="C322" s="126"/>
      <c r="D322" s="126"/>
      <c r="E322" s="126"/>
      <c r="F322" s="126"/>
      <c r="G322" s="126"/>
      <c r="H322" s="126"/>
      <c r="I322" s="182">
        <v>25000000</v>
      </c>
      <c r="J322" s="227"/>
    </row>
    <row r="323" spans="1:11" s="141" customFormat="1" ht="34.5">
      <c r="A323" s="149" t="s">
        <v>16</v>
      </c>
      <c r="B323" s="150" t="s">
        <v>467</v>
      </c>
      <c r="C323" s="124">
        <v>1030253</v>
      </c>
      <c r="D323" s="124">
        <v>412</v>
      </c>
      <c r="E323" s="124">
        <v>341</v>
      </c>
      <c r="F323" s="124">
        <v>12</v>
      </c>
      <c r="G323" s="143" t="s">
        <v>192</v>
      </c>
      <c r="H323" s="124">
        <v>100</v>
      </c>
      <c r="I323" s="170">
        <f>I324</f>
        <v>374000000</v>
      </c>
      <c r="J323" s="227"/>
    </row>
    <row r="324" spans="1:11" ht="66">
      <c r="A324" s="155" t="s">
        <v>14</v>
      </c>
      <c r="B324" s="156" t="s">
        <v>191</v>
      </c>
      <c r="C324" s="126"/>
      <c r="D324" s="126"/>
      <c r="E324" s="126"/>
      <c r="F324" s="126"/>
      <c r="G324" s="126"/>
      <c r="H324" s="126"/>
      <c r="I324" s="127">
        <f>SUM(I325:I327)</f>
        <v>374000000</v>
      </c>
      <c r="K324" s="128"/>
    </row>
    <row r="325" spans="1:11" s="141" customFormat="1" ht="49.5">
      <c r="A325" s="149"/>
      <c r="B325" s="185" t="s">
        <v>388</v>
      </c>
      <c r="C325" s="126"/>
      <c r="D325" s="126"/>
      <c r="E325" s="126"/>
      <c r="F325" s="126"/>
      <c r="G325" s="126"/>
      <c r="H325" s="126"/>
      <c r="I325" s="182">
        <v>313000000</v>
      </c>
      <c r="J325" s="227"/>
    </row>
    <row r="326" spans="1:11" s="141" customFormat="1" ht="66">
      <c r="A326" s="149"/>
      <c r="B326" s="185" t="s">
        <v>389</v>
      </c>
      <c r="C326" s="126"/>
      <c r="D326" s="126"/>
      <c r="E326" s="126"/>
      <c r="F326" s="126"/>
      <c r="G326" s="126"/>
      <c r="H326" s="126"/>
      <c r="I326" s="182">
        <v>35000000</v>
      </c>
      <c r="J326" s="227"/>
    </row>
    <row r="327" spans="1:11" s="141" customFormat="1" ht="33">
      <c r="A327" s="149"/>
      <c r="B327" s="185" t="s">
        <v>390</v>
      </c>
      <c r="C327" s="126"/>
      <c r="D327" s="126"/>
      <c r="E327" s="126"/>
      <c r="F327" s="126"/>
      <c r="G327" s="126"/>
      <c r="H327" s="126"/>
      <c r="I327" s="182">
        <v>26000000</v>
      </c>
      <c r="J327" s="227"/>
    </row>
    <row r="328" spans="1:11" ht="20.100000000000001" customHeight="1">
      <c r="A328" s="136" t="s">
        <v>5</v>
      </c>
      <c r="B328" s="137" t="s">
        <v>303</v>
      </c>
      <c r="C328" s="124">
        <v>1029501</v>
      </c>
      <c r="D328" s="124">
        <v>412</v>
      </c>
      <c r="E328" s="124"/>
      <c r="F328" s="124"/>
      <c r="G328" s="124"/>
      <c r="H328" s="124"/>
      <c r="I328" s="183">
        <f>I329</f>
        <v>5000000</v>
      </c>
      <c r="K328" s="128"/>
    </row>
    <row r="329" spans="1:11" ht="33">
      <c r="A329" s="136" t="s">
        <v>11</v>
      </c>
      <c r="B329" s="153" t="s">
        <v>106</v>
      </c>
      <c r="C329" s="124">
        <v>1029501</v>
      </c>
      <c r="D329" s="124">
        <v>412</v>
      </c>
      <c r="E329" s="124">
        <v>341</v>
      </c>
      <c r="F329" s="124">
        <v>12</v>
      </c>
      <c r="G329" s="143" t="s">
        <v>176</v>
      </c>
      <c r="H329" s="124">
        <v>100</v>
      </c>
      <c r="I329" s="154">
        <f>I330</f>
        <v>5000000</v>
      </c>
      <c r="K329" s="128"/>
    </row>
    <row r="330" spans="1:11" s="141" customFormat="1" ht="34.5">
      <c r="A330" s="149"/>
      <c r="B330" s="150" t="s">
        <v>466</v>
      </c>
      <c r="C330" s="124"/>
      <c r="D330" s="124"/>
      <c r="E330" s="124"/>
      <c r="F330" s="124"/>
      <c r="G330" s="124"/>
      <c r="H330" s="124"/>
      <c r="I330" s="151">
        <f>I332</f>
        <v>5000000</v>
      </c>
      <c r="J330" s="227"/>
    </row>
    <row r="331" spans="1:11" s="141" customFormat="1" ht="69">
      <c r="A331" s="149"/>
      <c r="B331" s="150" t="s">
        <v>191</v>
      </c>
      <c r="C331" s="124"/>
      <c r="D331" s="124"/>
      <c r="E331" s="124"/>
      <c r="F331" s="124"/>
      <c r="G331" s="126"/>
      <c r="H331" s="125"/>
      <c r="I331" s="151">
        <f>+I332</f>
        <v>5000000</v>
      </c>
      <c r="J331" s="227"/>
    </row>
    <row r="332" spans="1:11" ht="49.5">
      <c r="A332" s="136"/>
      <c r="B332" s="196" t="s">
        <v>232</v>
      </c>
      <c r="C332" s="125"/>
      <c r="D332" s="125"/>
      <c r="E332" s="125"/>
      <c r="F332" s="125"/>
      <c r="G332" s="126" t="s">
        <v>192</v>
      </c>
      <c r="H332" s="125">
        <v>100</v>
      </c>
      <c r="I332" s="157">
        <v>5000000</v>
      </c>
      <c r="K332" s="128"/>
    </row>
    <row r="333" spans="1:11" ht="20.100000000000001" customHeight="1">
      <c r="A333" s="136" t="s">
        <v>90</v>
      </c>
      <c r="B333" s="137" t="s">
        <v>304</v>
      </c>
      <c r="C333" s="124">
        <v>1029499</v>
      </c>
      <c r="D333" s="124">
        <v>412</v>
      </c>
      <c r="E333" s="124"/>
      <c r="F333" s="124"/>
      <c r="G333" s="124"/>
      <c r="H333" s="124"/>
      <c r="I333" s="183">
        <f>I334</f>
        <v>10000000</v>
      </c>
      <c r="K333" s="128"/>
    </row>
    <row r="334" spans="1:11" ht="33">
      <c r="A334" s="136" t="s">
        <v>11</v>
      </c>
      <c r="B334" s="153" t="s">
        <v>106</v>
      </c>
      <c r="C334" s="124">
        <v>1029499</v>
      </c>
      <c r="D334" s="124">
        <v>412</v>
      </c>
      <c r="E334" s="124">
        <v>341</v>
      </c>
      <c r="F334" s="124">
        <v>12</v>
      </c>
      <c r="G334" s="143" t="s">
        <v>176</v>
      </c>
      <c r="H334" s="124">
        <v>100</v>
      </c>
      <c r="I334" s="148">
        <f>I337</f>
        <v>10000000</v>
      </c>
      <c r="K334" s="128"/>
    </row>
    <row r="335" spans="1:11" s="141" customFormat="1" ht="34.5">
      <c r="A335" s="149"/>
      <c r="B335" s="150" t="s">
        <v>466</v>
      </c>
      <c r="C335" s="124"/>
      <c r="D335" s="124"/>
      <c r="E335" s="124"/>
      <c r="F335" s="124"/>
      <c r="G335" s="124"/>
      <c r="H335" s="124"/>
      <c r="I335" s="167">
        <f>I337</f>
        <v>10000000</v>
      </c>
      <c r="J335" s="227"/>
    </row>
    <row r="336" spans="1:11" s="141" customFormat="1" ht="69">
      <c r="A336" s="149"/>
      <c r="B336" s="150" t="s">
        <v>191</v>
      </c>
      <c r="C336" s="124"/>
      <c r="D336" s="124"/>
      <c r="E336" s="124"/>
      <c r="F336" s="124"/>
      <c r="G336" s="126"/>
      <c r="H336" s="126"/>
      <c r="I336" s="167">
        <f>+I337</f>
        <v>10000000</v>
      </c>
      <c r="J336" s="227"/>
    </row>
    <row r="337" spans="1:11" ht="49.5">
      <c r="A337" s="155"/>
      <c r="B337" s="196" t="s">
        <v>232</v>
      </c>
      <c r="C337" s="126"/>
      <c r="D337" s="126"/>
      <c r="E337" s="126"/>
      <c r="F337" s="126"/>
      <c r="G337" s="126" t="s">
        <v>192</v>
      </c>
      <c r="H337" s="126">
        <v>100</v>
      </c>
      <c r="I337" s="157">
        <v>10000000</v>
      </c>
      <c r="K337" s="128"/>
    </row>
    <row r="338" spans="1:11" ht="20.100000000000001" customHeight="1">
      <c r="A338" s="136" t="s">
        <v>101</v>
      </c>
      <c r="B338" s="137" t="s">
        <v>305</v>
      </c>
      <c r="C338" s="124">
        <v>1029495</v>
      </c>
      <c r="D338" s="124">
        <v>412</v>
      </c>
      <c r="E338" s="124"/>
      <c r="F338" s="124"/>
      <c r="G338" s="124"/>
      <c r="H338" s="124"/>
      <c r="I338" s="183">
        <f>I339</f>
        <v>10000000</v>
      </c>
      <c r="K338" s="128"/>
    </row>
    <row r="339" spans="1:11" ht="33">
      <c r="A339" s="136" t="s">
        <v>11</v>
      </c>
      <c r="B339" s="153" t="s">
        <v>106</v>
      </c>
      <c r="C339" s="124">
        <v>1029495</v>
      </c>
      <c r="D339" s="124">
        <v>412</v>
      </c>
      <c r="E339" s="124">
        <v>341</v>
      </c>
      <c r="F339" s="124">
        <v>12</v>
      </c>
      <c r="G339" s="143" t="s">
        <v>176</v>
      </c>
      <c r="H339" s="124">
        <v>100</v>
      </c>
      <c r="I339" s="148">
        <f>I342</f>
        <v>10000000</v>
      </c>
      <c r="K339" s="128"/>
    </row>
    <row r="340" spans="1:11" s="141" customFormat="1" ht="34.5">
      <c r="A340" s="149"/>
      <c r="B340" s="150" t="s">
        <v>466</v>
      </c>
      <c r="C340" s="124"/>
      <c r="D340" s="124"/>
      <c r="E340" s="124"/>
      <c r="F340" s="124"/>
      <c r="G340" s="124"/>
      <c r="H340" s="124"/>
      <c r="I340" s="167">
        <f>I342</f>
        <v>10000000</v>
      </c>
      <c r="J340" s="227"/>
    </row>
    <row r="341" spans="1:11" s="141" customFormat="1" ht="69">
      <c r="A341" s="149"/>
      <c r="B341" s="150" t="s">
        <v>191</v>
      </c>
      <c r="C341" s="124"/>
      <c r="D341" s="124"/>
      <c r="E341" s="124"/>
      <c r="F341" s="124"/>
      <c r="G341" s="126"/>
      <c r="H341" s="126"/>
      <c r="I341" s="167">
        <f>+I342</f>
        <v>10000000</v>
      </c>
      <c r="J341" s="227"/>
    </row>
    <row r="342" spans="1:11" ht="58.5" customHeight="1">
      <c r="A342" s="136"/>
      <c r="B342" s="196" t="s">
        <v>232</v>
      </c>
      <c r="C342" s="126"/>
      <c r="D342" s="126"/>
      <c r="E342" s="126"/>
      <c r="F342" s="126"/>
      <c r="G342" s="126" t="s">
        <v>192</v>
      </c>
      <c r="H342" s="126">
        <v>100</v>
      </c>
      <c r="I342" s="186">
        <v>10000000</v>
      </c>
      <c r="K342" s="128"/>
    </row>
    <row r="343" spans="1:11" ht="20.100000000000001" customHeight="1">
      <c r="A343" s="136" t="s">
        <v>102</v>
      </c>
      <c r="B343" s="137" t="s">
        <v>306</v>
      </c>
      <c r="C343" s="124">
        <v>1029500</v>
      </c>
      <c r="D343" s="124">
        <v>412</v>
      </c>
      <c r="E343" s="124"/>
      <c r="F343" s="124"/>
      <c r="G343" s="124"/>
      <c r="H343" s="124"/>
      <c r="I343" s="183">
        <f>I344</f>
        <v>10000000</v>
      </c>
      <c r="K343" s="128"/>
    </row>
    <row r="344" spans="1:11" ht="33">
      <c r="A344" s="136" t="s">
        <v>11</v>
      </c>
      <c r="B344" s="153" t="s">
        <v>106</v>
      </c>
      <c r="C344" s="124">
        <v>1029500</v>
      </c>
      <c r="D344" s="124">
        <v>412</v>
      </c>
      <c r="E344" s="124">
        <v>341</v>
      </c>
      <c r="F344" s="124">
        <v>12</v>
      </c>
      <c r="G344" s="143" t="s">
        <v>176</v>
      </c>
      <c r="H344" s="124">
        <v>100</v>
      </c>
      <c r="I344" s="197">
        <f>I345</f>
        <v>10000000</v>
      </c>
      <c r="K344" s="128"/>
    </row>
    <row r="345" spans="1:11" s="141" customFormat="1" ht="34.5">
      <c r="A345" s="149"/>
      <c r="B345" s="150" t="s">
        <v>466</v>
      </c>
      <c r="C345" s="124"/>
      <c r="D345" s="124"/>
      <c r="E345" s="124"/>
      <c r="F345" s="124"/>
      <c r="G345" s="124"/>
      <c r="H345" s="124"/>
      <c r="I345" s="167">
        <f>I347</f>
        <v>10000000</v>
      </c>
      <c r="J345" s="227"/>
    </row>
    <row r="346" spans="1:11" s="141" customFormat="1" ht="69">
      <c r="A346" s="149"/>
      <c r="B346" s="150" t="s">
        <v>191</v>
      </c>
      <c r="C346" s="124"/>
      <c r="D346" s="124"/>
      <c r="E346" s="124"/>
      <c r="F346" s="124"/>
      <c r="G346" s="126"/>
      <c r="H346" s="125"/>
      <c r="I346" s="167">
        <f>+I347</f>
        <v>10000000</v>
      </c>
      <c r="J346" s="227"/>
    </row>
    <row r="347" spans="1:11" ht="49.5">
      <c r="A347" s="136"/>
      <c r="B347" s="196" t="s">
        <v>232</v>
      </c>
      <c r="C347" s="125"/>
      <c r="D347" s="125"/>
      <c r="E347" s="125"/>
      <c r="F347" s="125"/>
      <c r="G347" s="126" t="s">
        <v>192</v>
      </c>
      <c r="H347" s="125">
        <v>100</v>
      </c>
      <c r="I347" s="198">
        <v>10000000</v>
      </c>
      <c r="K347" s="128"/>
    </row>
    <row r="348" spans="1:11" ht="20.100000000000001" customHeight="1">
      <c r="A348" s="136" t="s">
        <v>103</v>
      </c>
      <c r="B348" s="137" t="s">
        <v>307</v>
      </c>
      <c r="C348" s="124">
        <v>1030351</v>
      </c>
      <c r="D348" s="124">
        <v>412</v>
      </c>
      <c r="E348" s="124"/>
      <c r="F348" s="124"/>
      <c r="G348" s="124"/>
      <c r="H348" s="124"/>
      <c r="I348" s="183">
        <f>I349</f>
        <v>10000000</v>
      </c>
      <c r="K348" s="128"/>
    </row>
    <row r="349" spans="1:11" ht="39" customHeight="1">
      <c r="A349" s="136" t="s">
        <v>11</v>
      </c>
      <c r="B349" s="153" t="s">
        <v>106</v>
      </c>
      <c r="C349" s="124">
        <v>1030351</v>
      </c>
      <c r="D349" s="124">
        <v>412</v>
      </c>
      <c r="E349" s="124">
        <v>341</v>
      </c>
      <c r="F349" s="124">
        <v>12</v>
      </c>
      <c r="G349" s="143" t="s">
        <v>176</v>
      </c>
      <c r="H349" s="124">
        <v>100</v>
      </c>
      <c r="I349" s="197">
        <f>+I350</f>
        <v>10000000</v>
      </c>
      <c r="K349" s="128"/>
    </row>
    <row r="350" spans="1:11" s="141" customFormat="1" ht="34.5">
      <c r="A350" s="149"/>
      <c r="B350" s="150" t="s">
        <v>466</v>
      </c>
      <c r="C350" s="124"/>
      <c r="D350" s="124"/>
      <c r="E350" s="124"/>
      <c r="F350" s="124"/>
      <c r="G350" s="124"/>
      <c r="H350" s="124"/>
      <c r="I350" s="167">
        <f>I352</f>
        <v>10000000</v>
      </c>
      <c r="J350" s="227"/>
    </row>
    <row r="351" spans="1:11" s="141" customFormat="1" ht="69">
      <c r="A351" s="149"/>
      <c r="B351" s="150" t="s">
        <v>191</v>
      </c>
      <c r="C351" s="124"/>
      <c r="D351" s="124"/>
      <c r="E351" s="124"/>
      <c r="F351" s="124"/>
      <c r="G351" s="126"/>
      <c r="H351" s="126"/>
      <c r="I351" s="167">
        <f>+I352</f>
        <v>10000000</v>
      </c>
      <c r="J351" s="227"/>
    </row>
    <row r="352" spans="1:11" ht="56.25" customHeight="1">
      <c r="A352" s="136"/>
      <c r="B352" s="196" t="s">
        <v>232</v>
      </c>
      <c r="C352" s="126"/>
      <c r="D352" s="126"/>
      <c r="E352" s="126"/>
      <c r="F352" s="126"/>
      <c r="G352" s="126" t="s">
        <v>192</v>
      </c>
      <c r="H352" s="126">
        <v>100</v>
      </c>
      <c r="I352" s="198">
        <v>10000000</v>
      </c>
      <c r="K352" s="128"/>
    </row>
    <row r="353" spans="1:11" ht="33">
      <c r="A353" s="136" t="s">
        <v>104</v>
      </c>
      <c r="B353" s="137" t="s">
        <v>308</v>
      </c>
      <c r="C353" s="124">
        <v>1110440</v>
      </c>
      <c r="D353" s="124">
        <v>412</v>
      </c>
      <c r="E353" s="124"/>
      <c r="F353" s="124"/>
      <c r="G353" s="124"/>
      <c r="H353" s="124"/>
      <c r="I353" s="183">
        <f>I354</f>
        <v>10000000</v>
      </c>
      <c r="K353" s="128"/>
    </row>
    <row r="354" spans="1:11" ht="33">
      <c r="A354" s="136" t="s">
        <v>11</v>
      </c>
      <c r="B354" s="153" t="s">
        <v>106</v>
      </c>
      <c r="C354" s="124">
        <v>1110440</v>
      </c>
      <c r="D354" s="124">
        <v>412</v>
      </c>
      <c r="E354" s="124">
        <v>341</v>
      </c>
      <c r="F354" s="124">
        <v>12</v>
      </c>
      <c r="G354" s="143" t="s">
        <v>176</v>
      </c>
      <c r="H354" s="124">
        <v>100</v>
      </c>
      <c r="I354" s="183">
        <f>+I355</f>
        <v>10000000</v>
      </c>
      <c r="K354" s="128"/>
    </row>
    <row r="355" spans="1:11" s="141" customFormat="1" ht="36" customHeight="1">
      <c r="A355" s="149"/>
      <c r="B355" s="150" t="s">
        <v>466</v>
      </c>
      <c r="C355" s="124"/>
      <c r="D355" s="124"/>
      <c r="E355" s="124"/>
      <c r="F355" s="124"/>
      <c r="G355" s="124"/>
      <c r="H355" s="124"/>
      <c r="I355" s="167">
        <f>I357</f>
        <v>10000000</v>
      </c>
      <c r="J355" s="227"/>
    </row>
    <row r="356" spans="1:11" s="141" customFormat="1" ht="75.75" customHeight="1">
      <c r="A356" s="149"/>
      <c r="B356" s="150" t="s">
        <v>191</v>
      </c>
      <c r="C356" s="124"/>
      <c r="D356" s="124"/>
      <c r="E356" s="126"/>
      <c r="F356" s="126"/>
      <c r="G356" s="126"/>
      <c r="H356" s="126"/>
      <c r="I356" s="167">
        <f>+I357</f>
        <v>10000000</v>
      </c>
      <c r="J356" s="227"/>
    </row>
    <row r="357" spans="1:11" ht="62.25" customHeight="1">
      <c r="A357" s="155"/>
      <c r="B357" s="196" t="s">
        <v>232</v>
      </c>
      <c r="C357" s="126"/>
      <c r="D357" s="126"/>
      <c r="E357" s="126"/>
      <c r="F357" s="126"/>
      <c r="G357" s="126" t="s">
        <v>192</v>
      </c>
      <c r="H357" s="126">
        <v>100</v>
      </c>
      <c r="I357" s="127">
        <v>10000000</v>
      </c>
      <c r="K357" s="128"/>
    </row>
    <row r="358" spans="1:11" s="171" customFormat="1">
      <c r="A358" s="136" t="s">
        <v>412</v>
      </c>
      <c r="B358" s="190" t="s">
        <v>108</v>
      </c>
      <c r="C358" s="191"/>
      <c r="D358" s="191"/>
      <c r="E358" s="191"/>
      <c r="F358" s="191"/>
      <c r="G358" s="191"/>
      <c r="H358" s="191"/>
      <c r="I358" s="183">
        <f>I359</f>
        <v>10861000000</v>
      </c>
      <c r="J358" s="231"/>
    </row>
    <row r="359" spans="1:11" ht="20.100000000000001" customHeight="1">
      <c r="A359" s="136"/>
      <c r="B359" s="137" t="s">
        <v>309</v>
      </c>
      <c r="C359" s="124">
        <v>1030702</v>
      </c>
      <c r="D359" s="124">
        <v>412</v>
      </c>
      <c r="E359" s="124"/>
      <c r="F359" s="124"/>
      <c r="G359" s="124"/>
      <c r="H359" s="124"/>
      <c r="I359" s="183">
        <f>I360</f>
        <v>10861000000</v>
      </c>
      <c r="K359" s="128"/>
    </row>
    <row r="360" spans="1:11" ht="33">
      <c r="A360" s="136" t="s">
        <v>11</v>
      </c>
      <c r="B360" s="153" t="s">
        <v>110</v>
      </c>
      <c r="C360" s="124">
        <v>1030702</v>
      </c>
      <c r="D360" s="124">
        <v>412</v>
      </c>
      <c r="E360" s="124">
        <v>282</v>
      </c>
      <c r="F360" s="124">
        <v>12</v>
      </c>
      <c r="G360" s="143" t="s">
        <v>343</v>
      </c>
      <c r="H360" s="124">
        <v>100</v>
      </c>
      <c r="I360" s="183">
        <f>I361</f>
        <v>10861000000</v>
      </c>
      <c r="K360" s="128"/>
    </row>
    <row r="361" spans="1:11" s="141" customFormat="1" ht="34.5">
      <c r="A361" s="149"/>
      <c r="B361" s="150" t="s">
        <v>470</v>
      </c>
      <c r="C361" s="124"/>
      <c r="D361" s="124"/>
      <c r="E361" s="124"/>
      <c r="F361" s="124"/>
      <c r="G361" s="124"/>
      <c r="H361" s="124"/>
      <c r="I361" s="167">
        <f>I362</f>
        <v>10861000000</v>
      </c>
      <c r="J361" s="227"/>
    </row>
    <row r="362" spans="1:11" ht="56.25" customHeight="1">
      <c r="A362" s="136"/>
      <c r="B362" s="156" t="s">
        <v>310</v>
      </c>
      <c r="C362" s="126"/>
      <c r="D362" s="126"/>
      <c r="E362" s="126"/>
      <c r="F362" s="126"/>
      <c r="G362" s="126" t="s">
        <v>344</v>
      </c>
      <c r="H362" s="126">
        <v>100</v>
      </c>
      <c r="I362" s="127">
        <v>10861000000</v>
      </c>
      <c r="K362" s="128"/>
    </row>
    <row r="363" spans="1:11" ht="9.75" customHeight="1">
      <c r="A363" s="199"/>
      <c r="B363" s="200"/>
      <c r="C363" s="201"/>
      <c r="D363" s="201"/>
      <c r="E363" s="201"/>
      <c r="F363" s="201"/>
      <c r="G363" s="201"/>
      <c r="H363" s="201"/>
      <c r="I363" s="202"/>
      <c r="K363" s="128"/>
    </row>
  </sheetData>
  <autoFilter ref="A5:K5" xr:uid="{00000000-0009-0000-0000-000001000000}"/>
  <mergeCells count="3">
    <mergeCell ref="A1:I1"/>
    <mergeCell ref="A2:I2"/>
    <mergeCell ref="A3:I3"/>
  </mergeCells>
  <printOptions horizontalCentered="1"/>
  <pageMargins left="0" right="0" top="0.43" bottom="0.36" header="0.17" footer="0.22"/>
  <pageSetup paperSize="9" scale="90" orientation="landscape" r:id="rId1"/>
  <headerFooter differentFirst="1">
    <oddHeader>&amp;CPage &amp;P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59"/>
  <sheetViews>
    <sheetView zoomScale="70" zoomScaleNormal="70" workbookViewId="0">
      <pane xSplit="1" ySplit="5" topLeftCell="B486" activePane="bottomRight" state="frozen"/>
      <selection pane="topRight" activeCell="B1" sqref="B1"/>
      <selection pane="bottomLeft" activeCell="A8" sqref="A8"/>
      <selection pane="bottomRight" activeCell="AC501" sqref="AC501"/>
    </sheetView>
  </sheetViews>
  <sheetFormatPr defaultColWidth="8.85546875" defaultRowHeight="16.5"/>
  <cols>
    <col min="1" max="1" width="7.140625" style="130" customWidth="1"/>
    <col min="2" max="2" width="87.42578125" style="128" customWidth="1"/>
    <col min="3" max="3" width="10.28515625" style="130" hidden="1" customWidth="1"/>
    <col min="4" max="7" width="10" style="130" hidden="1" customWidth="1"/>
    <col min="8" max="8" width="10" style="266" hidden="1" customWidth="1"/>
    <col min="9" max="9" width="20.7109375" style="129" customWidth="1"/>
    <col min="10" max="10" width="20.7109375" style="503" customWidth="1"/>
    <col min="11" max="11" width="20.7109375" style="266" customWidth="1"/>
    <col min="12" max="13" width="17.42578125" style="273" customWidth="1"/>
    <col min="14" max="14" width="21.5703125" style="128" hidden="1" customWidth="1"/>
    <col min="15" max="15" width="20.140625" style="128" hidden="1" customWidth="1"/>
    <col min="16" max="16" width="17.5703125" style="128" hidden="1" customWidth="1"/>
    <col min="17" max="17" width="18.28515625" style="128" hidden="1" customWidth="1"/>
    <col min="18" max="19" width="9.5703125" style="382" hidden="1" customWidth="1"/>
    <col min="20" max="20" width="13.5703125" style="128" hidden="1" customWidth="1"/>
    <col min="21" max="26" width="0" style="128" hidden="1" customWidth="1"/>
    <col min="27" max="27" width="22.85546875" style="128" customWidth="1"/>
    <col min="28" max="28" width="21.7109375" style="128" customWidth="1"/>
    <col min="29" max="29" width="20.28515625" style="128" customWidth="1"/>
    <col min="30" max="16384" width="8.85546875" style="128"/>
  </cols>
  <sheetData>
    <row r="1" spans="1:20" ht="66" customHeight="1">
      <c r="A1" s="726" t="s">
        <v>757</v>
      </c>
      <c r="B1" s="726"/>
      <c r="C1" s="726"/>
      <c r="D1" s="726"/>
      <c r="E1" s="726"/>
      <c r="F1" s="726"/>
      <c r="G1" s="726"/>
      <c r="H1" s="726"/>
      <c r="I1" s="726"/>
      <c r="J1" s="726"/>
      <c r="K1" s="726"/>
      <c r="L1" s="726"/>
      <c r="M1" s="726"/>
      <c r="N1" s="129"/>
      <c r="O1" s="382"/>
    </row>
    <row r="2" spans="1:20">
      <c r="M2" s="270" t="s">
        <v>332</v>
      </c>
    </row>
    <row r="3" spans="1:20" s="130" customFormat="1" ht="32.25" customHeight="1">
      <c r="A3" s="732" t="s">
        <v>2</v>
      </c>
      <c r="B3" s="731" t="s">
        <v>0</v>
      </c>
      <c r="C3" s="123" t="s">
        <v>333</v>
      </c>
      <c r="D3" s="123" t="s">
        <v>334</v>
      </c>
      <c r="E3" s="123" t="s">
        <v>335</v>
      </c>
      <c r="F3" s="123" t="s">
        <v>336</v>
      </c>
      <c r="G3" s="123" t="s">
        <v>337</v>
      </c>
      <c r="H3" s="269" t="s">
        <v>338</v>
      </c>
      <c r="I3" s="730" t="s">
        <v>565</v>
      </c>
      <c r="J3" s="727" t="s">
        <v>739</v>
      </c>
      <c r="K3" s="728" t="s">
        <v>740</v>
      </c>
      <c r="L3" s="729" t="s">
        <v>557</v>
      </c>
      <c r="M3" s="729"/>
      <c r="R3" s="273"/>
      <c r="S3" s="273"/>
    </row>
    <row r="4" spans="1:20" s="130" customFormat="1" ht="32.25" customHeight="1">
      <c r="A4" s="732"/>
      <c r="B4" s="731"/>
      <c r="C4" s="123"/>
      <c r="D4" s="123"/>
      <c r="E4" s="123"/>
      <c r="F4" s="123"/>
      <c r="G4" s="123"/>
      <c r="H4" s="269"/>
      <c r="I4" s="730"/>
      <c r="J4" s="727"/>
      <c r="K4" s="728"/>
      <c r="L4" s="271" t="s">
        <v>558</v>
      </c>
      <c r="M4" s="271" t="s">
        <v>559</v>
      </c>
      <c r="O4" s="266"/>
      <c r="R4" s="273"/>
      <c r="S4" s="273"/>
    </row>
    <row r="5" spans="1:20">
      <c r="A5" s="506" t="s">
        <v>89</v>
      </c>
      <c r="B5" s="507" t="s">
        <v>68</v>
      </c>
      <c r="C5" s="508"/>
      <c r="D5" s="508"/>
      <c r="E5" s="508"/>
      <c r="F5" s="508"/>
      <c r="G5" s="508"/>
      <c r="H5" s="508"/>
      <c r="I5" s="509">
        <v>1</v>
      </c>
      <c r="J5" s="510">
        <v>2</v>
      </c>
      <c r="K5" s="510">
        <v>3</v>
      </c>
      <c r="L5" s="511" t="s">
        <v>560</v>
      </c>
      <c r="M5" s="511" t="s">
        <v>561</v>
      </c>
    </row>
    <row r="6" spans="1:20" ht="18.75" hidden="1">
      <c r="A6" s="500" t="s">
        <v>89</v>
      </c>
      <c r="B6" s="501" t="s">
        <v>596</v>
      </c>
      <c r="C6" s="512"/>
      <c r="D6" s="512"/>
      <c r="E6" s="512"/>
      <c r="F6" s="512"/>
      <c r="G6" s="512"/>
      <c r="H6" s="513"/>
      <c r="I6" s="502"/>
      <c r="J6" s="514"/>
      <c r="K6" s="555"/>
      <c r="L6" s="515"/>
      <c r="M6" s="515"/>
      <c r="N6" s="128" t="s">
        <v>118</v>
      </c>
      <c r="O6" s="129">
        <f>+O7+O8</f>
        <v>30664962676</v>
      </c>
      <c r="P6" s="129">
        <f t="shared" ref="P6:Q6" si="0">+P7+P8</f>
        <v>27125702253</v>
      </c>
      <c r="Q6" s="129">
        <f t="shared" si="0"/>
        <v>23126879903</v>
      </c>
      <c r="R6" s="382">
        <f>+P6/O6*100</f>
        <v>88.458292089264432</v>
      </c>
      <c r="S6" s="382">
        <f>+P6/Q6*100</f>
        <v>117.29079913404694</v>
      </c>
    </row>
    <row r="7" spans="1:20" ht="18.75" hidden="1">
      <c r="A7" s="315" t="s">
        <v>3</v>
      </c>
      <c r="B7" s="409" t="s">
        <v>597</v>
      </c>
      <c r="C7" s="123"/>
      <c r="D7" s="123"/>
      <c r="E7" s="123"/>
      <c r="F7" s="123"/>
      <c r="G7" s="123"/>
      <c r="H7" s="269"/>
      <c r="I7" s="475">
        <f>+I8+I10</f>
        <v>6582000000</v>
      </c>
      <c r="J7" s="475">
        <f>+J8+J10</f>
        <v>6418911879</v>
      </c>
      <c r="K7" s="553">
        <f>+K8+K10</f>
        <v>6075125896</v>
      </c>
      <c r="L7" s="516">
        <f t="shared" ref="L7:L31" si="1">+J7/I7*100</f>
        <v>97.522210255241575</v>
      </c>
      <c r="M7" s="516">
        <f t="shared" ref="M7:M31" si="2">+J7/K7*100</f>
        <v>105.65891125361462</v>
      </c>
      <c r="N7" s="380" t="s">
        <v>657</v>
      </c>
      <c r="O7" s="381">
        <f>+I29+I82+I118+I167+I212</f>
        <v>22717514000</v>
      </c>
      <c r="P7" s="381">
        <f>+J29+J82+J118+J167+J212</f>
        <v>19197882201</v>
      </c>
      <c r="Q7" s="381">
        <f>+K29+K82+K118+K167+K212</f>
        <v>16803583542</v>
      </c>
      <c r="R7" s="382">
        <f t="shared" ref="R7:R8" si="3">+P7/O7*100</f>
        <v>84.506967624186345</v>
      </c>
      <c r="S7" s="382">
        <f t="shared" ref="S7:S8" si="4">+P7/Q7*100</f>
        <v>114.24873838973413</v>
      </c>
    </row>
    <row r="8" spans="1:20" ht="18.75" hidden="1">
      <c r="A8" s="315">
        <v>1</v>
      </c>
      <c r="B8" s="409" t="s">
        <v>598</v>
      </c>
      <c r="C8" s="123"/>
      <c r="D8" s="123"/>
      <c r="E8" s="123"/>
      <c r="F8" s="123"/>
      <c r="G8" s="123"/>
      <c r="H8" s="269"/>
      <c r="I8" s="475">
        <f>+I9</f>
        <v>5000000</v>
      </c>
      <c r="J8" s="475">
        <f>+J9</f>
        <v>7100000</v>
      </c>
      <c r="K8" s="553">
        <f>+K9</f>
        <v>3400000</v>
      </c>
      <c r="L8" s="516">
        <f t="shared" si="1"/>
        <v>142</v>
      </c>
      <c r="M8" s="516">
        <f t="shared" si="2"/>
        <v>208.82352941176472</v>
      </c>
      <c r="N8" s="380" t="s">
        <v>658</v>
      </c>
      <c r="O8" s="381">
        <f>+I39+I91+I127+I175+I220</f>
        <v>7947448676</v>
      </c>
      <c r="P8" s="381">
        <f>+J39+J91+J127+J175+J220</f>
        <v>7927820052</v>
      </c>
      <c r="Q8" s="381">
        <f>+K39+K91+K127+K175+K220</f>
        <v>6323296361</v>
      </c>
      <c r="R8" s="382">
        <f t="shared" si="3"/>
        <v>99.753019807988508</v>
      </c>
      <c r="S8" s="382">
        <f t="shared" si="4"/>
        <v>125.37479819696846</v>
      </c>
    </row>
    <row r="9" spans="1:20" s="141" customFormat="1" ht="37.5" hidden="1">
      <c r="A9" s="315"/>
      <c r="B9" s="410" t="s">
        <v>23</v>
      </c>
      <c r="C9" s="404"/>
      <c r="D9" s="404"/>
      <c r="E9" s="404"/>
      <c r="F9" s="404"/>
      <c r="G9" s="404"/>
      <c r="H9" s="517"/>
      <c r="I9" s="474">
        <f>+I72</f>
        <v>5000000</v>
      </c>
      <c r="J9" s="474">
        <f>+J72</f>
        <v>7100000</v>
      </c>
      <c r="K9" s="469">
        <f>+K72</f>
        <v>3400000</v>
      </c>
      <c r="L9" s="518">
        <f t="shared" si="1"/>
        <v>142</v>
      </c>
      <c r="M9" s="518">
        <f t="shared" si="2"/>
        <v>208.82352941176472</v>
      </c>
      <c r="N9" s="128" t="s">
        <v>566</v>
      </c>
      <c r="O9" s="129">
        <f>+O10+O11</f>
        <v>18270524826</v>
      </c>
      <c r="P9" s="129">
        <f t="shared" ref="P9:Q9" si="5">+P10+P11</f>
        <v>17819034571</v>
      </c>
      <c r="Q9" s="129">
        <f t="shared" si="5"/>
        <v>15112530449</v>
      </c>
      <c r="R9" s="382">
        <f t="shared" ref="R9" si="6">+P9/O9*100</f>
        <v>97.528859957227382</v>
      </c>
      <c r="S9" s="382">
        <f t="shared" ref="S9" si="7">+P9/Q9*100</f>
        <v>117.90900690743746</v>
      </c>
    </row>
    <row r="10" spans="1:20" s="141" customFormat="1" ht="18.75" hidden="1">
      <c r="A10" s="315">
        <v>2</v>
      </c>
      <c r="B10" s="409" t="s">
        <v>599</v>
      </c>
      <c r="C10" s="123"/>
      <c r="D10" s="123"/>
      <c r="E10" s="123"/>
      <c r="F10" s="123"/>
      <c r="G10" s="123"/>
      <c r="H10" s="269"/>
      <c r="I10" s="475">
        <f>+I11+I12+I13</f>
        <v>6577000000</v>
      </c>
      <c r="J10" s="475">
        <f>+J11+J12+J13</f>
        <v>6411811879</v>
      </c>
      <c r="K10" s="553">
        <f>+K11+K12+K13</f>
        <v>6071725896</v>
      </c>
      <c r="L10" s="516">
        <f t="shared" si="1"/>
        <v>97.488397126349398</v>
      </c>
      <c r="M10" s="516">
        <f t="shared" si="2"/>
        <v>105.60114189647535</v>
      </c>
      <c r="N10" s="380" t="s">
        <v>657</v>
      </c>
      <c r="O10" s="394">
        <f>+I189+I241+I278</f>
        <v>2486471231</v>
      </c>
      <c r="P10" s="394">
        <f>+J189+J241+J278</f>
        <v>2418165293</v>
      </c>
      <c r="Q10" s="394">
        <f>+K189+K241+K278</f>
        <v>1884229427</v>
      </c>
      <c r="R10" s="395">
        <f t="shared" ref="R10:R11" si="8">+P10/O10*100</f>
        <v>97.252896508578175</v>
      </c>
      <c r="S10" s="395">
        <f t="shared" ref="S10:S11" si="9">+P10/Q10*100</f>
        <v>128.33709411120452</v>
      </c>
    </row>
    <row r="11" spans="1:20" ht="18.75" hidden="1">
      <c r="A11" s="411"/>
      <c r="B11" s="410" t="s">
        <v>21</v>
      </c>
      <c r="C11" s="404"/>
      <c r="D11" s="404"/>
      <c r="E11" s="404"/>
      <c r="F11" s="404"/>
      <c r="G11" s="404"/>
      <c r="H11" s="517"/>
      <c r="I11" s="474">
        <f>+I69</f>
        <v>40000000</v>
      </c>
      <c r="J11" s="474">
        <f>+J69</f>
        <v>162299429</v>
      </c>
      <c r="K11" s="469">
        <f>+K69</f>
        <v>205605496</v>
      </c>
      <c r="L11" s="518">
        <f t="shared" si="1"/>
        <v>405.74857250000002</v>
      </c>
      <c r="M11" s="518">
        <f t="shared" si="2"/>
        <v>78.9373008783773</v>
      </c>
      <c r="N11" s="380" t="s">
        <v>658</v>
      </c>
      <c r="O11" s="381">
        <f>+I66+I196+I252+I286</f>
        <v>15784053595</v>
      </c>
      <c r="P11" s="381">
        <f>+J66+J196+J252+J286</f>
        <v>15400869278</v>
      </c>
      <c r="Q11" s="381">
        <f>+K66+K196+K252+K286</f>
        <v>13228301022</v>
      </c>
      <c r="R11" s="395">
        <f t="shared" si="8"/>
        <v>97.572332641335024</v>
      </c>
      <c r="S11" s="395">
        <f t="shared" si="9"/>
        <v>116.42363786843677</v>
      </c>
    </row>
    <row r="12" spans="1:20" s="141" customFormat="1" ht="18.75" hidden="1">
      <c r="A12" s="411"/>
      <c r="B12" s="410" t="s">
        <v>22</v>
      </c>
      <c r="C12" s="404"/>
      <c r="D12" s="404"/>
      <c r="E12" s="404"/>
      <c r="F12" s="404"/>
      <c r="G12" s="404"/>
      <c r="H12" s="517"/>
      <c r="I12" s="474">
        <f>+I71</f>
        <v>6292000000</v>
      </c>
      <c r="J12" s="474">
        <f>+J71</f>
        <v>6067261300</v>
      </c>
      <c r="K12" s="469">
        <f>+K71</f>
        <v>5721670400</v>
      </c>
      <c r="L12" s="518">
        <f t="shared" si="1"/>
        <v>96.428183407501592</v>
      </c>
      <c r="M12" s="518">
        <f t="shared" si="2"/>
        <v>106.04003509185009</v>
      </c>
      <c r="N12" s="267" t="s">
        <v>567</v>
      </c>
      <c r="O12" s="129">
        <f>+O13+O14</f>
        <v>3566391740</v>
      </c>
      <c r="P12" s="129">
        <f t="shared" ref="P12:Q12" si="10">+P13+P14</f>
        <v>3495875263</v>
      </c>
      <c r="Q12" s="129">
        <f t="shared" si="10"/>
        <v>3123346645</v>
      </c>
      <c r="R12" s="382">
        <f>+P12/O12*100</f>
        <v>98.022750103161698</v>
      </c>
      <c r="S12" s="382">
        <f>+P12/Q12*100</f>
        <v>111.92722615648063</v>
      </c>
    </row>
    <row r="13" spans="1:20" s="141" customFormat="1" ht="37.5" hidden="1">
      <c r="A13" s="411"/>
      <c r="B13" s="410" t="s">
        <v>345</v>
      </c>
      <c r="C13" s="123"/>
      <c r="D13" s="123"/>
      <c r="E13" s="123"/>
      <c r="F13" s="123"/>
      <c r="G13" s="123"/>
      <c r="H13" s="269"/>
      <c r="I13" s="474">
        <f>+I74</f>
        <v>245000000</v>
      </c>
      <c r="J13" s="474">
        <f>+J74</f>
        <v>182251150</v>
      </c>
      <c r="K13" s="469">
        <f>+K74</f>
        <v>144450000</v>
      </c>
      <c r="L13" s="516">
        <f t="shared" si="1"/>
        <v>74.388224489795917</v>
      </c>
      <c r="M13" s="516">
        <f t="shared" si="2"/>
        <v>126.16902042229145</v>
      </c>
      <c r="N13" s="380" t="s">
        <v>657</v>
      </c>
      <c r="O13" s="394">
        <f>+I146+I308</f>
        <v>618250000</v>
      </c>
      <c r="P13" s="394">
        <f>+J146+J308</f>
        <v>602301300</v>
      </c>
      <c r="Q13" s="394">
        <f>+K146+K308</f>
        <v>482475000</v>
      </c>
      <c r="R13" s="395">
        <f t="shared" ref="R13:R14" si="11">+P13/O13*100</f>
        <v>97.420347755762222</v>
      </c>
      <c r="S13" s="395">
        <f t="shared" ref="S13:S14" si="12">+P13/Q13*100</f>
        <v>124.83575314783148</v>
      </c>
      <c r="T13" s="396"/>
    </row>
    <row r="14" spans="1:20" ht="18.75" hidden="1">
      <c r="A14" s="315" t="s">
        <v>5</v>
      </c>
      <c r="B14" s="409" t="s">
        <v>609</v>
      </c>
      <c r="C14" s="404"/>
      <c r="D14" s="404"/>
      <c r="E14" s="404"/>
      <c r="F14" s="404"/>
      <c r="G14" s="404"/>
      <c r="H14" s="517"/>
      <c r="I14" s="475">
        <f>+I15+I17</f>
        <v>6582000000</v>
      </c>
      <c r="J14" s="475">
        <f>+J15+J17</f>
        <v>6418911879</v>
      </c>
      <c r="K14" s="553">
        <f>+K15+K17</f>
        <v>6075125896</v>
      </c>
      <c r="L14" s="518">
        <f t="shared" si="1"/>
        <v>97.522210255241575</v>
      </c>
      <c r="M14" s="518">
        <f t="shared" si="2"/>
        <v>105.65891125361462</v>
      </c>
      <c r="N14" s="380" t="s">
        <v>658</v>
      </c>
      <c r="O14" s="381">
        <f>+I154+I318</f>
        <v>2948141740</v>
      </c>
      <c r="P14" s="381">
        <f>+J154+J318</f>
        <v>2893573963</v>
      </c>
      <c r="Q14" s="381">
        <f>+K154+K318</f>
        <v>2640871645</v>
      </c>
      <c r="R14" s="395">
        <f t="shared" si="11"/>
        <v>98.149078917759226</v>
      </c>
      <c r="S14" s="395">
        <f t="shared" si="12"/>
        <v>109.56889815067102</v>
      </c>
      <c r="T14" s="380"/>
    </row>
    <row r="15" spans="1:20" s="141" customFormat="1" ht="18.75" hidden="1">
      <c r="A15" s="315">
        <v>1</v>
      </c>
      <c r="B15" s="409" t="s">
        <v>598</v>
      </c>
      <c r="C15" s="123"/>
      <c r="D15" s="123"/>
      <c r="E15" s="123"/>
      <c r="F15" s="123"/>
      <c r="G15" s="123"/>
      <c r="H15" s="269"/>
      <c r="I15" s="475">
        <f>+I16</f>
        <v>5000000</v>
      </c>
      <c r="J15" s="475">
        <f>+J16</f>
        <v>7100000</v>
      </c>
      <c r="K15" s="553">
        <f>+K16</f>
        <v>3400000</v>
      </c>
      <c r="L15" s="519">
        <f t="shared" si="1"/>
        <v>142</v>
      </c>
      <c r="M15" s="519">
        <f t="shared" si="2"/>
        <v>208.82352941176472</v>
      </c>
      <c r="N15" s="267" t="s">
        <v>568</v>
      </c>
      <c r="O15" s="274">
        <f>+O16+O17</f>
        <v>5543000000</v>
      </c>
      <c r="P15" s="274">
        <f t="shared" ref="P15:Q15" si="13">+P16+P17</f>
        <v>5459839710</v>
      </c>
      <c r="Q15" s="274">
        <f t="shared" si="13"/>
        <v>5483352883</v>
      </c>
      <c r="R15" s="382">
        <f>+P15/O15*100</f>
        <v>98.499724156593899</v>
      </c>
      <c r="S15" s="382">
        <f>+P15/Q15*100</f>
        <v>99.571189863178461</v>
      </c>
    </row>
    <row r="16" spans="1:20" ht="37.5" hidden="1">
      <c r="A16" s="411"/>
      <c r="B16" s="410" t="s">
        <v>23</v>
      </c>
      <c r="C16" s="123"/>
      <c r="D16" s="123"/>
      <c r="E16" s="123"/>
      <c r="F16" s="123"/>
      <c r="G16" s="123"/>
      <c r="H16" s="269"/>
      <c r="I16" s="474">
        <f>+I9</f>
        <v>5000000</v>
      </c>
      <c r="J16" s="474">
        <f>+J9</f>
        <v>7100000</v>
      </c>
      <c r="K16" s="469">
        <f>+K9</f>
        <v>3400000</v>
      </c>
      <c r="L16" s="516">
        <f t="shared" si="1"/>
        <v>142</v>
      </c>
      <c r="M16" s="516">
        <f t="shared" si="2"/>
        <v>208.82352941176472</v>
      </c>
      <c r="N16" s="380" t="s">
        <v>657</v>
      </c>
      <c r="O16" s="381">
        <f>+I333</f>
        <v>1731000000</v>
      </c>
      <c r="P16" s="381">
        <f t="shared" ref="P16:Q16" si="14">+J333</f>
        <v>1731000000</v>
      </c>
      <c r="Q16" s="381">
        <f t="shared" si="14"/>
        <v>1807000000</v>
      </c>
      <c r="R16" s="395">
        <f t="shared" ref="R16:R17" si="15">+P16/O16*100</f>
        <v>100</v>
      </c>
      <c r="S16" s="395">
        <f t="shared" ref="S16:S17" si="16">+P16/Q16*100</f>
        <v>95.794133923630326</v>
      </c>
    </row>
    <row r="17" spans="1:29" ht="18.75" hidden="1">
      <c r="A17" s="315">
        <v>2</v>
      </c>
      <c r="B17" s="409" t="s">
        <v>599</v>
      </c>
      <c r="C17" s="123"/>
      <c r="D17" s="123"/>
      <c r="E17" s="123"/>
      <c r="F17" s="123"/>
      <c r="G17" s="123"/>
      <c r="H17" s="269"/>
      <c r="I17" s="475">
        <f>+I18+I19+I20</f>
        <v>6577000000</v>
      </c>
      <c r="J17" s="475">
        <f>+J18+J19+J20</f>
        <v>6411811879</v>
      </c>
      <c r="K17" s="553">
        <f>+K18+K19+K20</f>
        <v>6071725896</v>
      </c>
      <c r="L17" s="516">
        <f t="shared" si="1"/>
        <v>97.488397126349398</v>
      </c>
      <c r="M17" s="516">
        <f t="shared" si="2"/>
        <v>105.60114189647535</v>
      </c>
      <c r="N17" s="380" t="s">
        <v>658</v>
      </c>
      <c r="O17" s="381">
        <f>+I344+I109</f>
        <v>3812000000</v>
      </c>
      <c r="P17" s="381">
        <f>+J344+J109</f>
        <v>3728839710</v>
      </c>
      <c r="Q17" s="381">
        <f>+K344+K109</f>
        <v>3676352883</v>
      </c>
      <c r="R17" s="395">
        <f t="shared" si="15"/>
        <v>97.818460388247644</v>
      </c>
      <c r="S17" s="395">
        <f t="shared" si="16"/>
        <v>101.42768740298862</v>
      </c>
    </row>
    <row r="18" spans="1:29" ht="18.75" hidden="1">
      <c r="A18" s="315"/>
      <c r="B18" s="410" t="s">
        <v>600</v>
      </c>
      <c r="C18" s="520"/>
      <c r="D18" s="520"/>
      <c r="E18" s="520"/>
      <c r="F18" s="520"/>
      <c r="G18" s="520"/>
      <c r="H18" s="521"/>
      <c r="I18" s="474">
        <f t="shared" ref="I18:K20" si="17">+I11</f>
        <v>40000000</v>
      </c>
      <c r="J18" s="474">
        <f t="shared" si="17"/>
        <v>162299429</v>
      </c>
      <c r="K18" s="469">
        <f t="shared" si="17"/>
        <v>205605496</v>
      </c>
      <c r="L18" s="518">
        <f t="shared" si="1"/>
        <v>405.74857250000002</v>
      </c>
      <c r="M18" s="518">
        <f t="shared" si="2"/>
        <v>78.9373008783773</v>
      </c>
      <c r="N18" s="268" t="s">
        <v>569</v>
      </c>
      <c r="O18" s="141">
        <f>+I68</f>
        <v>40000000</v>
      </c>
      <c r="P18" s="141">
        <f t="shared" ref="P18:Q18" si="18">+J68</f>
        <v>162299429</v>
      </c>
      <c r="Q18" s="141">
        <f t="shared" si="18"/>
        <v>205605496</v>
      </c>
      <c r="R18" s="382">
        <f>+P18/O18*100</f>
        <v>405.74857250000002</v>
      </c>
      <c r="S18" s="382">
        <f>+P18/Q18*100</f>
        <v>78.9373008783773</v>
      </c>
    </row>
    <row r="19" spans="1:29" s="141" customFormat="1" ht="18.75" hidden="1">
      <c r="A19" s="315"/>
      <c r="B19" s="410" t="s">
        <v>22</v>
      </c>
      <c r="C19" s="123"/>
      <c r="D19" s="123"/>
      <c r="E19" s="123"/>
      <c r="F19" s="123"/>
      <c r="G19" s="123"/>
      <c r="H19" s="269"/>
      <c r="I19" s="474">
        <f t="shared" si="17"/>
        <v>6292000000</v>
      </c>
      <c r="J19" s="474">
        <f t="shared" si="17"/>
        <v>6067261300</v>
      </c>
      <c r="K19" s="469">
        <f t="shared" si="17"/>
        <v>5721670400</v>
      </c>
      <c r="L19" s="516">
        <f t="shared" si="1"/>
        <v>96.428183407501592</v>
      </c>
      <c r="M19" s="516">
        <f t="shared" si="2"/>
        <v>106.04003509185009</v>
      </c>
      <c r="N19" s="268" t="s">
        <v>570</v>
      </c>
      <c r="O19" s="129">
        <f>+I113+I206+I272</f>
        <v>1221000000</v>
      </c>
      <c r="P19" s="129">
        <f>+J113+J206+J272</f>
        <v>1167000000</v>
      </c>
      <c r="Q19" s="129">
        <f>+K113+K206+K272</f>
        <v>1043000000</v>
      </c>
      <c r="R19" s="382">
        <f>+P19/O19*100</f>
        <v>95.577395577395578</v>
      </c>
      <c r="S19" s="382">
        <f>+P19/Q19*100</f>
        <v>111.88878235858101</v>
      </c>
      <c r="AB19" s="274">
        <f>+J21-120000000</f>
        <v>109858643339</v>
      </c>
    </row>
    <row r="20" spans="1:29" s="141" customFormat="1" ht="37.5" hidden="1">
      <c r="A20" s="411"/>
      <c r="B20" s="410" t="s">
        <v>601</v>
      </c>
      <c r="C20" s="520"/>
      <c r="D20" s="520"/>
      <c r="E20" s="520"/>
      <c r="F20" s="520"/>
      <c r="G20" s="520"/>
      <c r="H20" s="521"/>
      <c r="I20" s="474">
        <f t="shared" si="17"/>
        <v>245000000</v>
      </c>
      <c r="J20" s="474">
        <f t="shared" si="17"/>
        <v>182251150</v>
      </c>
      <c r="K20" s="469">
        <f t="shared" si="17"/>
        <v>144450000</v>
      </c>
      <c r="L20" s="518">
        <f t="shared" si="1"/>
        <v>74.388224489795917</v>
      </c>
      <c r="M20" s="518">
        <f t="shared" si="2"/>
        <v>126.16902042229145</v>
      </c>
      <c r="N20" s="267" t="s">
        <v>571</v>
      </c>
      <c r="O20" s="274">
        <f>+I62+I105+I141+I185+I236+I299+I328+I347</f>
        <v>30172653800</v>
      </c>
      <c r="P20" s="274">
        <f>+J62+J105+J141+J185+J236+J299+J328+J347</f>
        <v>27453131131</v>
      </c>
      <c r="Q20" s="274">
        <f>+K62+K105+K141+K185+K236+K299+K328+K347</f>
        <v>25058217229</v>
      </c>
      <c r="R20" s="382">
        <f>+P20/O20*100</f>
        <v>90.986796564112637</v>
      </c>
      <c r="S20" s="382">
        <f>+P20/Q20*100</f>
        <v>109.5573993956296</v>
      </c>
      <c r="T20" s="274"/>
    </row>
    <row r="21" spans="1:29" ht="18.75" hidden="1">
      <c r="A21" s="407" t="s">
        <v>68</v>
      </c>
      <c r="B21" s="408" t="s">
        <v>610</v>
      </c>
      <c r="C21" s="520"/>
      <c r="D21" s="520"/>
      <c r="E21" s="520"/>
      <c r="F21" s="520"/>
      <c r="G21" s="520"/>
      <c r="H21" s="521"/>
      <c r="I21" s="477">
        <f>+I22+I51+I62</f>
        <v>115687627322</v>
      </c>
      <c r="J21" s="477">
        <f t="shared" ref="J21:K21" si="19">+J22+J51+J62</f>
        <v>109978643339</v>
      </c>
      <c r="K21" s="477">
        <f t="shared" si="19"/>
        <v>97545504613</v>
      </c>
      <c r="L21" s="518">
        <f t="shared" si="1"/>
        <v>95.065173246997404</v>
      </c>
      <c r="M21" s="518">
        <f t="shared" si="2"/>
        <v>112.74598842389199</v>
      </c>
      <c r="N21" s="141" t="s">
        <v>572</v>
      </c>
      <c r="O21" s="141">
        <f>+I77</f>
        <v>40000000</v>
      </c>
      <c r="P21" s="141">
        <f t="shared" ref="P21:Q21" si="20">+J77</f>
        <v>162299429</v>
      </c>
      <c r="Q21" s="141">
        <f t="shared" si="20"/>
        <v>205605496</v>
      </c>
      <c r="R21" s="382">
        <f>+P21/O21*100</f>
        <v>405.74857250000002</v>
      </c>
      <c r="S21" s="382">
        <f>+P21/Q21*100</f>
        <v>78.9373008783773</v>
      </c>
      <c r="AA21" s="482">
        <v>115687627322</v>
      </c>
      <c r="AB21" s="482">
        <v>109154789040</v>
      </c>
      <c r="AC21" s="482">
        <v>97928552613</v>
      </c>
    </row>
    <row r="22" spans="1:29" s="141" customFormat="1" ht="18.75" hidden="1">
      <c r="A22" s="412" t="s">
        <v>3</v>
      </c>
      <c r="B22" s="413" t="s">
        <v>664</v>
      </c>
      <c r="C22" s="123"/>
      <c r="D22" s="123"/>
      <c r="E22" s="123"/>
      <c r="F22" s="123"/>
      <c r="G22" s="123"/>
      <c r="H22" s="269"/>
      <c r="I22" s="478">
        <f>+I23+I26+I39+I42+I45+I48</f>
        <v>103703043822</v>
      </c>
      <c r="J22" s="478">
        <f t="shared" ref="J22:K22" si="21">+J23+J26+J39+J42+J45+J48</f>
        <v>98257034943</v>
      </c>
      <c r="K22" s="478">
        <f t="shared" si="21"/>
        <v>83322718769</v>
      </c>
      <c r="L22" s="516">
        <f t="shared" si="1"/>
        <v>94.74845802178406</v>
      </c>
      <c r="M22" s="516">
        <f t="shared" si="2"/>
        <v>117.92346240573738</v>
      </c>
      <c r="N22" s="128" t="s">
        <v>573</v>
      </c>
      <c r="O22" s="129">
        <f>+I70</f>
        <v>6297000000</v>
      </c>
      <c r="P22" s="129">
        <f t="shared" ref="P22:Q22" si="22">+J70</f>
        <v>6074361300</v>
      </c>
      <c r="Q22" s="129">
        <f t="shared" si="22"/>
        <v>5725070400</v>
      </c>
      <c r="R22" s="382">
        <f>+P22/O22*100</f>
        <v>96.464368747022391</v>
      </c>
      <c r="S22" s="382">
        <f>+P22/Q22*100</f>
        <v>106.10107606711701</v>
      </c>
      <c r="AA22" s="274">
        <f>+AA21-I21</f>
        <v>0</v>
      </c>
      <c r="AB22" s="274">
        <f t="shared" ref="AB22:AC22" si="23">+AB21-J21</f>
        <v>-823854299</v>
      </c>
      <c r="AC22" s="274">
        <f t="shared" si="23"/>
        <v>383048000</v>
      </c>
    </row>
    <row r="23" spans="1:29" s="141" customFormat="1" ht="18.75" hidden="1">
      <c r="A23" s="414">
        <v>1</v>
      </c>
      <c r="B23" s="415" t="s">
        <v>606</v>
      </c>
      <c r="C23" s="404"/>
      <c r="D23" s="404"/>
      <c r="E23" s="404"/>
      <c r="F23" s="404"/>
      <c r="G23" s="404"/>
      <c r="H23" s="517"/>
      <c r="I23" s="479">
        <f>+I24+I25</f>
        <v>41713088931</v>
      </c>
      <c r="J23" s="479">
        <f t="shared" ref="J23:K23" si="24">+J24+J25</f>
        <v>40767760233</v>
      </c>
      <c r="K23" s="479">
        <f t="shared" si="24"/>
        <v>33938471547</v>
      </c>
      <c r="L23" s="518">
        <f t="shared" si="1"/>
        <v>97.733736047302273</v>
      </c>
      <c r="M23" s="518">
        <f t="shared" si="2"/>
        <v>120.12255819046653</v>
      </c>
      <c r="N23" s="277" t="s">
        <v>575</v>
      </c>
      <c r="O23" s="278">
        <f>+O6+O9+O12+O15+O18+O19+O20+O21+O22</f>
        <v>95815533042</v>
      </c>
      <c r="P23" s="278">
        <f t="shared" ref="P23:Q23" si="25">+P6+P9+P12+P15+P18+P19+P20+P21+P22</f>
        <v>88919543086</v>
      </c>
      <c r="Q23" s="278">
        <f t="shared" si="25"/>
        <v>79083608501</v>
      </c>
      <c r="R23" s="383">
        <f t="shared" ref="R23" si="26">+P23/O23*100</f>
        <v>92.802847579027514</v>
      </c>
      <c r="S23" s="383">
        <f t="shared" ref="S23" si="27">+P23/Q23*100</f>
        <v>112.43738717976638</v>
      </c>
    </row>
    <row r="24" spans="1:29" s="145" customFormat="1" ht="18.75" hidden="1">
      <c r="A24" s="411"/>
      <c r="B24" s="410" t="s">
        <v>665</v>
      </c>
      <c r="C24" s="405"/>
      <c r="D24" s="405"/>
      <c r="E24" s="405"/>
      <c r="F24" s="405"/>
      <c r="G24" s="405"/>
      <c r="H24" s="522"/>
      <c r="I24" s="474">
        <f>I89+I155+I197+I264+I330</f>
        <v>30713900655</v>
      </c>
      <c r="J24" s="474">
        <f t="shared" ref="J24:K24" si="28">J89+J155+J197+J264+J330</f>
        <v>30397187232</v>
      </c>
      <c r="K24" s="474">
        <f t="shared" si="28"/>
        <v>25394828069</v>
      </c>
      <c r="L24" s="523">
        <f t="shared" si="1"/>
        <v>98.968827090516626</v>
      </c>
      <c r="M24" s="523">
        <f t="shared" si="2"/>
        <v>119.69833837586199</v>
      </c>
      <c r="N24" s="275" t="s">
        <v>574</v>
      </c>
      <c r="O24" s="276">
        <f>+O25+O26</f>
        <v>9314434526</v>
      </c>
      <c r="P24" s="276">
        <f t="shared" ref="P24:Q24" si="29">+P25+P26</f>
        <v>8607831567</v>
      </c>
      <c r="Q24" s="276">
        <f t="shared" si="29"/>
        <v>7502151853</v>
      </c>
      <c r="R24" s="384">
        <f>+P24/O24*100</f>
        <v>92.413893113665551</v>
      </c>
      <c r="S24" s="384">
        <f>+P24/Q24*100</f>
        <v>114.73816760397693</v>
      </c>
      <c r="T24" s="272"/>
    </row>
    <row r="25" spans="1:29" s="145" customFormat="1" ht="18.75" hidden="1">
      <c r="A25" s="411"/>
      <c r="B25" s="410" t="s">
        <v>608</v>
      </c>
      <c r="C25" s="524"/>
      <c r="D25" s="524"/>
      <c r="E25" s="524"/>
      <c r="F25" s="524"/>
      <c r="G25" s="524"/>
      <c r="H25" s="525"/>
      <c r="I25" s="474">
        <f>I101+I166+I275+I341+I400+I464+I209</f>
        <v>10999188276</v>
      </c>
      <c r="J25" s="474">
        <f t="shared" ref="J25:K25" si="30">J101+J166+J275+J341+J400+J464+J209</f>
        <v>10370573001</v>
      </c>
      <c r="K25" s="474">
        <f t="shared" si="30"/>
        <v>8543643478</v>
      </c>
      <c r="L25" s="526">
        <f t="shared" si="1"/>
        <v>94.284893946477624</v>
      </c>
      <c r="M25" s="526">
        <f t="shared" si="2"/>
        <v>121.38349438040537</v>
      </c>
      <c r="N25" s="504" t="s">
        <v>659</v>
      </c>
      <c r="O25" s="272">
        <f>+I421</f>
        <v>700500000</v>
      </c>
      <c r="P25" s="272">
        <f t="shared" ref="P25:Q25" si="31">+J421</f>
        <v>700488000</v>
      </c>
      <c r="Q25" s="272">
        <f t="shared" si="31"/>
        <v>556668000</v>
      </c>
      <c r="R25" s="384">
        <f t="shared" ref="R25:R27" si="32">+P25/O25*100</f>
        <v>99.998286937901497</v>
      </c>
      <c r="S25" s="384">
        <f t="shared" ref="S25:S27" si="33">+P25/Q25*100</f>
        <v>125.83586626139818</v>
      </c>
    </row>
    <row r="26" spans="1:29" s="147" customFormat="1" ht="18.75" hidden="1">
      <c r="A26" s="414">
        <v>2</v>
      </c>
      <c r="B26" s="415" t="s">
        <v>666</v>
      </c>
      <c r="C26" s="527"/>
      <c r="D26" s="527"/>
      <c r="E26" s="527"/>
      <c r="F26" s="527"/>
      <c r="G26" s="527"/>
      <c r="H26" s="528"/>
      <c r="I26" s="479">
        <f>+I27+I30+I33+I36</f>
        <v>60943314891</v>
      </c>
      <c r="J26" s="479">
        <f t="shared" ref="J26:K26" si="34">+J27+J30+J33+J36</f>
        <v>56741693334</v>
      </c>
      <c r="K26" s="479">
        <f t="shared" si="34"/>
        <v>48781050861</v>
      </c>
      <c r="L26" s="529">
        <f t="shared" si="1"/>
        <v>93.105689172775058</v>
      </c>
      <c r="M26" s="529">
        <f t="shared" si="2"/>
        <v>116.3191287036509</v>
      </c>
      <c r="N26" s="504" t="s">
        <v>660</v>
      </c>
      <c r="O26" s="226">
        <f>+O27+O28</f>
        <v>8613934526</v>
      </c>
      <c r="P26" s="226">
        <f t="shared" ref="P26:Q26" si="35">+P27+P28</f>
        <v>7907343567</v>
      </c>
      <c r="Q26" s="226">
        <f t="shared" si="35"/>
        <v>6945483853</v>
      </c>
      <c r="R26" s="384">
        <f t="shared" si="32"/>
        <v>91.797117137734787</v>
      </c>
      <c r="S26" s="384">
        <f t="shared" si="33"/>
        <v>113.84870707869459</v>
      </c>
    </row>
    <row r="27" spans="1:29" ht="18.75" hidden="1">
      <c r="A27" s="315" t="s">
        <v>14</v>
      </c>
      <c r="B27" s="409" t="s">
        <v>667</v>
      </c>
      <c r="C27" s="530">
        <v>1030253</v>
      </c>
      <c r="D27" s="530">
        <v>412</v>
      </c>
      <c r="E27" s="530"/>
      <c r="F27" s="530"/>
      <c r="G27" s="530"/>
      <c r="H27" s="531"/>
      <c r="I27" s="475">
        <f>+I28+I29</f>
        <v>38803060675</v>
      </c>
      <c r="J27" s="475">
        <f t="shared" ref="J27:K27" si="36">+J28+J29</f>
        <v>35089431502</v>
      </c>
      <c r="K27" s="475">
        <f t="shared" si="36"/>
        <v>29907570686</v>
      </c>
      <c r="L27" s="532">
        <f t="shared" si="1"/>
        <v>90.429545740981681</v>
      </c>
      <c r="M27" s="532">
        <f t="shared" si="2"/>
        <v>117.32625117032885</v>
      </c>
      <c r="N27" s="504" t="s">
        <v>661</v>
      </c>
      <c r="O27" s="129">
        <f>+I360</f>
        <v>31500000</v>
      </c>
      <c r="P27" s="129">
        <f t="shared" ref="P27:Q27" si="37">+J360</f>
        <v>31500000</v>
      </c>
      <c r="Q27" s="129">
        <f t="shared" si="37"/>
        <v>30800000</v>
      </c>
      <c r="R27" s="384">
        <f t="shared" si="32"/>
        <v>100</v>
      </c>
      <c r="S27" s="384">
        <f t="shared" si="33"/>
        <v>102.27272727272727</v>
      </c>
    </row>
    <row r="28" spans="1:29" ht="18.75" hidden="1">
      <c r="A28" s="411"/>
      <c r="B28" s="410" t="s">
        <v>607</v>
      </c>
      <c r="C28" s="123">
        <v>1030253</v>
      </c>
      <c r="D28" s="123">
        <v>412</v>
      </c>
      <c r="E28" s="123">
        <v>340</v>
      </c>
      <c r="F28" s="123">
        <v>13</v>
      </c>
      <c r="G28" s="123"/>
      <c r="H28" s="269"/>
      <c r="I28" s="474">
        <f>I296+I362+I403</f>
        <v>17096546675</v>
      </c>
      <c r="J28" s="474">
        <f t="shared" ref="J28:K28" si="38">J296+J362+J403</f>
        <v>16801381515</v>
      </c>
      <c r="K28" s="474">
        <f t="shared" si="38"/>
        <v>14856182325</v>
      </c>
      <c r="L28" s="516">
        <f t="shared" si="1"/>
        <v>98.273539296496565</v>
      </c>
      <c r="M28" s="516">
        <f t="shared" si="2"/>
        <v>113.09353336843893</v>
      </c>
      <c r="N28" s="504" t="s">
        <v>662</v>
      </c>
      <c r="O28" s="129">
        <f>+I369+I382+I387+I392+I400+I405+I416</f>
        <v>8582434526</v>
      </c>
      <c r="P28" s="129">
        <f t="shared" ref="P28:Q28" si="39">+J369+J382+J387+J392+J400+J405+J416</f>
        <v>7875843567</v>
      </c>
      <c r="Q28" s="129">
        <f t="shared" si="39"/>
        <v>6914683853</v>
      </c>
    </row>
    <row r="29" spans="1:29" s="152" customFormat="1" ht="18.75" hidden="1">
      <c r="A29" s="411"/>
      <c r="B29" s="410" t="s">
        <v>608</v>
      </c>
      <c r="C29" s="123"/>
      <c r="D29" s="123"/>
      <c r="E29" s="123"/>
      <c r="F29" s="123"/>
      <c r="G29" s="123"/>
      <c r="H29" s="269"/>
      <c r="I29" s="474">
        <f>I139+I306+I372+I414</f>
        <v>21706514000</v>
      </c>
      <c r="J29" s="474">
        <f t="shared" ref="J29:K29" si="40">J139+J306+J372+J414</f>
        <v>18288049987</v>
      </c>
      <c r="K29" s="474">
        <f t="shared" si="40"/>
        <v>15051388361</v>
      </c>
      <c r="L29" s="518">
        <f t="shared" si="1"/>
        <v>84.251437089345629</v>
      </c>
      <c r="M29" s="518">
        <f t="shared" si="2"/>
        <v>121.50407356697133</v>
      </c>
      <c r="R29" s="388"/>
      <c r="S29" s="388"/>
    </row>
    <row r="30" spans="1:29" ht="18.75" hidden="1">
      <c r="A30" s="315" t="s">
        <v>15</v>
      </c>
      <c r="B30" s="409" t="s">
        <v>668</v>
      </c>
      <c r="C30" s="123">
        <v>1030253</v>
      </c>
      <c r="D30" s="123">
        <v>412</v>
      </c>
      <c r="E30" s="123">
        <v>341</v>
      </c>
      <c r="F30" s="123">
        <v>13</v>
      </c>
      <c r="G30" s="123"/>
      <c r="H30" s="269">
        <v>200</v>
      </c>
      <c r="I30" s="475">
        <f>+I31+I32</f>
        <v>14354254216</v>
      </c>
      <c r="J30" s="475">
        <f t="shared" ref="J30:K30" si="41">+J31+J32</f>
        <v>14180226818</v>
      </c>
      <c r="K30" s="475">
        <f t="shared" si="41"/>
        <v>13223925320</v>
      </c>
      <c r="L30" s="516">
        <f t="shared" si="1"/>
        <v>98.787624941141004</v>
      </c>
      <c r="M30" s="516">
        <f t="shared" si="2"/>
        <v>107.2316008663001</v>
      </c>
    </row>
    <row r="31" spans="1:29" ht="18.75" hidden="1">
      <c r="A31" s="411"/>
      <c r="B31" s="410" t="s">
        <v>607</v>
      </c>
      <c r="C31" s="520"/>
      <c r="D31" s="520"/>
      <c r="E31" s="520"/>
      <c r="F31" s="520"/>
      <c r="G31" s="520"/>
      <c r="H31" s="521"/>
      <c r="I31" s="474">
        <f>+I239+I438</f>
        <v>6505106776</v>
      </c>
      <c r="J31" s="474">
        <f t="shared" ref="J31:K31" si="42">+J239+J438</f>
        <v>6456285776</v>
      </c>
      <c r="K31" s="474">
        <f t="shared" si="42"/>
        <v>5562022224</v>
      </c>
      <c r="L31" s="518">
        <f t="shared" si="1"/>
        <v>99.249497330618453</v>
      </c>
      <c r="M31" s="518">
        <f t="shared" si="2"/>
        <v>116.07802910497685</v>
      </c>
      <c r="N31" s="129">
        <f>+I27+I359</f>
        <v>38804460675</v>
      </c>
    </row>
    <row r="32" spans="1:29" ht="18.75" hidden="1">
      <c r="A32" s="411"/>
      <c r="B32" s="410" t="s">
        <v>608</v>
      </c>
      <c r="C32" s="404"/>
      <c r="D32" s="404"/>
      <c r="E32" s="404"/>
      <c r="F32" s="404"/>
      <c r="G32" s="404"/>
      <c r="H32" s="517"/>
      <c r="I32" s="474">
        <f>+I250+I449</f>
        <v>7849147440</v>
      </c>
      <c r="J32" s="474">
        <f t="shared" ref="J32:K32" si="43">+J250+J449</f>
        <v>7723941042</v>
      </c>
      <c r="K32" s="474">
        <f t="shared" si="43"/>
        <v>7661903096</v>
      </c>
      <c r="L32" s="518">
        <f t="shared" ref="L32:L98" si="44">+J32/I32*100</f>
        <v>98.40484079376651</v>
      </c>
      <c r="M32" s="518">
        <f t="shared" ref="M32:M98" si="45">+J32/K32*100</f>
        <v>100.80969369127611</v>
      </c>
    </row>
    <row r="33" spans="1:19" ht="18.75" hidden="1">
      <c r="A33" s="315" t="s">
        <v>24</v>
      </c>
      <c r="B33" s="409" t="s">
        <v>669</v>
      </c>
      <c r="C33" s="404"/>
      <c r="D33" s="404"/>
      <c r="E33" s="404"/>
      <c r="F33" s="404"/>
      <c r="G33" s="404"/>
      <c r="H33" s="517"/>
      <c r="I33" s="475">
        <f>+I34+I35</f>
        <v>6081451000</v>
      </c>
      <c r="J33" s="475">
        <f t="shared" ref="J33:K33" si="46">+J34+J35</f>
        <v>5899421847</v>
      </c>
      <c r="K33" s="475">
        <f t="shared" si="46"/>
        <v>5317650105</v>
      </c>
      <c r="L33" s="518">
        <f t="shared" si="44"/>
        <v>97.006813785065432</v>
      </c>
      <c r="M33" s="518">
        <f t="shared" si="45"/>
        <v>110.9403915359715</v>
      </c>
      <c r="O33" s="129">
        <f>+N31+N80+N116+N164+N210+N276+N305+I331</f>
        <v>52225285751</v>
      </c>
    </row>
    <row r="34" spans="1:19" ht="18" hidden="1" customHeight="1">
      <c r="A34" s="411"/>
      <c r="B34" s="410" t="s">
        <v>607</v>
      </c>
      <c r="C34" s="520"/>
      <c r="D34" s="520"/>
      <c r="E34" s="520"/>
      <c r="F34" s="520"/>
      <c r="G34" s="520"/>
      <c r="H34" s="521"/>
      <c r="I34" s="474">
        <f>+I467</f>
        <v>738000000</v>
      </c>
      <c r="J34" s="474">
        <f t="shared" ref="J34:K34" si="47">+J467</f>
        <v>738000000</v>
      </c>
      <c r="K34" s="474">
        <f t="shared" si="47"/>
        <v>697000000</v>
      </c>
      <c r="L34" s="518">
        <f t="shared" si="44"/>
        <v>100</v>
      </c>
      <c r="M34" s="518">
        <f t="shared" si="45"/>
        <v>105.88235294117648</v>
      </c>
    </row>
    <row r="35" spans="1:19" ht="18" hidden="1" customHeight="1">
      <c r="A35" s="411"/>
      <c r="B35" s="410" t="s">
        <v>608</v>
      </c>
      <c r="C35" s="520"/>
      <c r="D35" s="520"/>
      <c r="E35" s="520"/>
      <c r="F35" s="520"/>
      <c r="G35" s="520"/>
      <c r="H35" s="521"/>
      <c r="I35" s="474">
        <f>I185+I475+I483</f>
        <v>5343451000</v>
      </c>
      <c r="J35" s="474">
        <f t="shared" ref="J35:K35" si="48">J185+J475+J483</f>
        <v>5161421847</v>
      </c>
      <c r="K35" s="474">
        <f t="shared" si="48"/>
        <v>4620650105</v>
      </c>
      <c r="L35" s="518">
        <f t="shared" si="44"/>
        <v>96.593415884229131</v>
      </c>
      <c r="M35" s="518">
        <f t="shared" si="45"/>
        <v>111.7033692167003</v>
      </c>
    </row>
    <row r="36" spans="1:19" ht="18" hidden="1" customHeight="1">
      <c r="A36" s="315" t="s">
        <v>313</v>
      </c>
      <c r="B36" s="409" t="s">
        <v>670</v>
      </c>
      <c r="C36" s="123">
        <v>1030253</v>
      </c>
      <c r="D36" s="123">
        <v>412</v>
      </c>
      <c r="E36" s="123">
        <v>341</v>
      </c>
      <c r="F36" s="123">
        <v>14</v>
      </c>
      <c r="G36" s="123"/>
      <c r="H36" s="269">
        <v>200</v>
      </c>
      <c r="I36" s="475">
        <f>+I37+I38</f>
        <v>1704549000</v>
      </c>
      <c r="J36" s="475">
        <f t="shared" ref="J36:K36" si="49">+J37+J38</f>
        <v>1572613167</v>
      </c>
      <c r="K36" s="475">
        <f t="shared" si="49"/>
        <v>331904750</v>
      </c>
      <c r="L36" s="518">
        <f t="shared" si="44"/>
        <v>92.25978056365642</v>
      </c>
      <c r="M36" s="518">
        <f t="shared" si="45"/>
        <v>473.81460102634867</v>
      </c>
    </row>
    <row r="37" spans="1:19" ht="18" hidden="1" customHeight="1">
      <c r="A37" s="411"/>
      <c r="B37" s="410" t="s">
        <v>607</v>
      </c>
      <c r="C37" s="123"/>
      <c r="D37" s="123"/>
      <c r="E37" s="123"/>
      <c r="F37" s="123"/>
      <c r="G37" s="123"/>
      <c r="H37" s="269"/>
      <c r="I37" s="474"/>
      <c r="J37" s="474"/>
      <c r="K37" s="474"/>
      <c r="L37" s="519" t="e">
        <f t="shared" si="44"/>
        <v>#DIV/0!</v>
      </c>
      <c r="M37" s="519" t="e">
        <f t="shared" si="45"/>
        <v>#DIV/0!</v>
      </c>
    </row>
    <row r="38" spans="1:19" ht="18.75" hidden="1">
      <c r="A38" s="411"/>
      <c r="B38" s="410" t="s">
        <v>608</v>
      </c>
      <c r="C38" s="404"/>
      <c r="D38" s="404"/>
      <c r="E38" s="404"/>
      <c r="F38" s="520" t="s">
        <v>339</v>
      </c>
      <c r="G38" s="404"/>
      <c r="H38" s="517">
        <v>200</v>
      </c>
      <c r="I38" s="474">
        <f>I141+I485</f>
        <v>1704549000</v>
      </c>
      <c r="J38" s="474">
        <f t="shared" ref="J38:K38" si="50">J141+J485</f>
        <v>1572613167</v>
      </c>
      <c r="K38" s="474">
        <f t="shared" si="50"/>
        <v>331904750</v>
      </c>
      <c r="L38" s="518">
        <f t="shared" si="44"/>
        <v>92.25978056365642</v>
      </c>
      <c r="M38" s="518">
        <f t="shared" si="45"/>
        <v>473.81460102634867</v>
      </c>
    </row>
    <row r="39" spans="1:19" s="152" customFormat="1" ht="18.75" hidden="1">
      <c r="A39" s="414">
        <v>3</v>
      </c>
      <c r="B39" s="415" t="s">
        <v>671</v>
      </c>
      <c r="C39" s="123">
        <v>1030253</v>
      </c>
      <c r="D39" s="123">
        <v>412</v>
      </c>
      <c r="E39" s="123">
        <v>341</v>
      </c>
      <c r="F39" s="123">
        <v>12</v>
      </c>
      <c r="G39" s="123"/>
      <c r="H39" s="269">
        <v>200</v>
      </c>
      <c r="I39" s="479">
        <f>+I40+I41</f>
        <v>178150000</v>
      </c>
      <c r="J39" s="479">
        <f t="shared" ref="J39:K39" si="51">+J40+J41</f>
        <v>168521376</v>
      </c>
      <c r="K39" s="479">
        <f t="shared" si="51"/>
        <v>276296361</v>
      </c>
      <c r="L39" s="518">
        <f t="shared" si="44"/>
        <v>94.595215268032561</v>
      </c>
      <c r="M39" s="518">
        <f t="shared" si="45"/>
        <v>60.99297703019694</v>
      </c>
      <c r="R39" s="388"/>
      <c r="S39" s="388"/>
    </row>
    <row r="40" spans="1:19" ht="18.75" hidden="1">
      <c r="A40" s="411"/>
      <c r="B40" s="410" t="s">
        <v>607</v>
      </c>
      <c r="C40" s="521"/>
      <c r="D40" s="521"/>
      <c r="E40" s="521"/>
      <c r="F40" s="521"/>
      <c r="G40" s="521"/>
      <c r="H40" s="521"/>
      <c r="I40" s="474"/>
      <c r="J40" s="474"/>
      <c r="K40" s="474"/>
      <c r="L40" s="519" t="e">
        <f t="shared" si="44"/>
        <v>#DIV/0!</v>
      </c>
      <c r="M40" s="519" t="e">
        <f t="shared" si="45"/>
        <v>#DIV/0!</v>
      </c>
    </row>
    <row r="41" spans="1:19" ht="18.75" hidden="1">
      <c r="A41" s="411"/>
      <c r="B41" s="410" t="s">
        <v>608</v>
      </c>
      <c r="C41" s="521"/>
      <c r="D41" s="521"/>
      <c r="E41" s="521"/>
      <c r="F41" s="521"/>
      <c r="G41" s="521"/>
      <c r="H41" s="521"/>
      <c r="I41" s="474">
        <f>I189+I325+I396</f>
        <v>178150000</v>
      </c>
      <c r="J41" s="474">
        <f t="shared" ref="J41:K41" si="52">J189+J325+J396</f>
        <v>168521376</v>
      </c>
      <c r="K41" s="474">
        <f t="shared" si="52"/>
        <v>276296361</v>
      </c>
      <c r="L41" s="518">
        <f t="shared" si="44"/>
        <v>94.595215268032561</v>
      </c>
      <c r="M41" s="518">
        <f t="shared" si="45"/>
        <v>60.99297703019694</v>
      </c>
    </row>
    <row r="42" spans="1:19" s="141" customFormat="1" ht="18.75" hidden="1">
      <c r="A42" s="414">
        <v>4</v>
      </c>
      <c r="B42" s="415" t="s">
        <v>615</v>
      </c>
      <c r="C42" s="533"/>
      <c r="D42" s="533"/>
      <c r="E42" s="533"/>
      <c r="F42" s="533"/>
      <c r="G42" s="533"/>
      <c r="H42" s="533"/>
      <c r="I42" s="479">
        <f>+I43+I44</f>
        <v>250000000</v>
      </c>
      <c r="J42" s="479">
        <f t="shared" ref="J42:K42" si="53">+J43+J44</f>
        <v>243060000</v>
      </c>
      <c r="K42" s="479">
        <f t="shared" si="53"/>
        <v>0</v>
      </c>
      <c r="L42" s="518">
        <f t="shared" si="44"/>
        <v>97.224000000000004</v>
      </c>
      <c r="M42" s="519" t="e">
        <f t="shared" si="45"/>
        <v>#DIV/0!</v>
      </c>
      <c r="R42" s="385"/>
      <c r="S42" s="385"/>
    </row>
    <row r="43" spans="1:19" s="141" customFormat="1" ht="18.75" hidden="1">
      <c r="A43" s="416"/>
      <c r="B43" s="410" t="s">
        <v>607</v>
      </c>
      <c r="C43" s="533"/>
      <c r="D43" s="533"/>
      <c r="E43" s="533"/>
      <c r="F43" s="533"/>
      <c r="G43" s="533"/>
      <c r="H43" s="533"/>
      <c r="I43" s="474"/>
      <c r="J43" s="474"/>
      <c r="K43" s="474"/>
      <c r="L43" s="519" t="e">
        <f t="shared" si="44"/>
        <v>#DIV/0!</v>
      </c>
      <c r="M43" s="519" t="e">
        <f t="shared" si="45"/>
        <v>#DIV/0!</v>
      </c>
      <c r="R43" s="385"/>
      <c r="S43" s="385"/>
    </row>
    <row r="44" spans="1:19" s="141" customFormat="1" ht="18.75" hidden="1">
      <c r="A44" s="416"/>
      <c r="B44" s="410" t="s">
        <v>608</v>
      </c>
      <c r="C44" s="533"/>
      <c r="D44" s="533"/>
      <c r="E44" s="533"/>
      <c r="F44" s="533"/>
      <c r="G44" s="533"/>
      <c r="H44" s="533"/>
      <c r="I44" s="474">
        <f>+I150</f>
        <v>250000000</v>
      </c>
      <c r="J44" s="474">
        <f t="shared" ref="J44:K44" si="54">+J150</f>
        <v>243060000</v>
      </c>
      <c r="K44" s="474">
        <f t="shared" si="54"/>
        <v>0</v>
      </c>
      <c r="L44" s="518">
        <f t="shared" si="44"/>
        <v>97.224000000000004</v>
      </c>
      <c r="M44" s="519" t="e">
        <f t="shared" si="45"/>
        <v>#DIV/0!</v>
      </c>
      <c r="R44" s="385"/>
      <c r="S44" s="385"/>
    </row>
    <row r="45" spans="1:19" s="141" customFormat="1" ht="18.75" hidden="1">
      <c r="A45" s="414">
        <v>5</v>
      </c>
      <c r="B45" s="415" t="s">
        <v>622</v>
      </c>
      <c r="C45" s="533"/>
      <c r="D45" s="533"/>
      <c r="E45" s="533"/>
      <c r="F45" s="533"/>
      <c r="G45" s="533"/>
      <c r="H45" s="533"/>
      <c r="I45" s="479">
        <f>+I46+I47</f>
        <v>282490000</v>
      </c>
      <c r="J45" s="479">
        <f t="shared" ref="J45:K45" si="55">+J46+J47</f>
        <v>0</v>
      </c>
      <c r="K45" s="479">
        <f t="shared" si="55"/>
        <v>0</v>
      </c>
      <c r="L45" s="519">
        <f t="shared" si="44"/>
        <v>0</v>
      </c>
      <c r="M45" s="519" t="e">
        <f t="shared" si="45"/>
        <v>#DIV/0!</v>
      </c>
      <c r="R45" s="385"/>
      <c r="S45" s="385"/>
    </row>
    <row r="46" spans="1:19" s="141" customFormat="1" ht="18.75" hidden="1">
      <c r="A46" s="416"/>
      <c r="B46" s="410" t="s">
        <v>607</v>
      </c>
      <c r="C46" s="533"/>
      <c r="D46" s="533"/>
      <c r="E46" s="533"/>
      <c r="F46" s="533"/>
      <c r="G46" s="533"/>
      <c r="H46" s="533"/>
      <c r="I46" s="474"/>
      <c r="J46" s="474"/>
      <c r="K46" s="474"/>
      <c r="L46" s="519" t="e">
        <f t="shared" si="44"/>
        <v>#DIV/0!</v>
      </c>
      <c r="M46" s="519" t="e">
        <f t="shared" si="45"/>
        <v>#DIV/0!</v>
      </c>
      <c r="R46" s="385"/>
      <c r="S46" s="385"/>
    </row>
    <row r="47" spans="1:19" s="141" customFormat="1" ht="18.75" hidden="1">
      <c r="A47" s="416"/>
      <c r="B47" s="410" t="s">
        <v>608</v>
      </c>
      <c r="C47" s="533"/>
      <c r="D47" s="533"/>
      <c r="E47" s="533"/>
      <c r="F47" s="533"/>
      <c r="G47" s="533"/>
      <c r="H47" s="533"/>
      <c r="I47" s="474">
        <f>+I143</f>
        <v>282490000</v>
      </c>
      <c r="J47" s="474">
        <f t="shared" ref="J47:K47" si="56">+J143</f>
        <v>0</v>
      </c>
      <c r="K47" s="474">
        <f t="shared" si="56"/>
        <v>0</v>
      </c>
      <c r="L47" s="519">
        <f t="shared" si="44"/>
        <v>0</v>
      </c>
      <c r="M47" s="519" t="e">
        <f t="shared" si="45"/>
        <v>#DIV/0!</v>
      </c>
      <c r="R47" s="385"/>
      <c r="S47" s="385"/>
    </row>
    <row r="48" spans="1:19" s="141" customFormat="1" ht="18.75" hidden="1">
      <c r="A48" s="417">
        <v>6</v>
      </c>
      <c r="B48" s="415" t="s">
        <v>628</v>
      </c>
      <c r="C48" s="533"/>
      <c r="D48" s="533"/>
      <c r="E48" s="533"/>
      <c r="F48" s="533"/>
      <c r="G48" s="533"/>
      <c r="H48" s="533"/>
      <c r="I48" s="479">
        <f>+I49+I50</f>
        <v>336000000</v>
      </c>
      <c r="J48" s="479">
        <f t="shared" ref="J48:K48" si="57">+J49+J50</f>
        <v>336000000</v>
      </c>
      <c r="K48" s="479">
        <f t="shared" si="57"/>
        <v>326900000</v>
      </c>
      <c r="L48" s="518">
        <f t="shared" si="44"/>
        <v>100</v>
      </c>
      <c r="M48" s="518">
        <f t="shared" si="45"/>
        <v>102.78372591006423</v>
      </c>
      <c r="R48" s="385"/>
      <c r="S48" s="385"/>
    </row>
    <row r="49" spans="1:19" s="141" customFormat="1" ht="18.75" hidden="1">
      <c r="A49" s="416"/>
      <c r="B49" s="410" t="s">
        <v>607</v>
      </c>
      <c r="C49" s="534"/>
      <c r="D49" s="534"/>
      <c r="E49" s="534"/>
      <c r="F49" s="534"/>
      <c r="G49" s="534"/>
      <c r="H49" s="535"/>
      <c r="I49" s="474"/>
      <c r="J49" s="474"/>
      <c r="K49" s="474"/>
      <c r="L49" s="519" t="e">
        <f t="shared" si="44"/>
        <v>#DIV/0!</v>
      </c>
      <c r="M49" s="519" t="e">
        <f t="shared" si="45"/>
        <v>#DIV/0!</v>
      </c>
      <c r="R49" s="385"/>
      <c r="S49" s="385"/>
    </row>
    <row r="50" spans="1:19" s="141" customFormat="1" ht="18.75" hidden="1">
      <c r="A50" s="416"/>
      <c r="B50" s="410" t="s">
        <v>608</v>
      </c>
      <c r="C50" s="534"/>
      <c r="D50" s="534"/>
      <c r="E50" s="534"/>
      <c r="F50" s="534"/>
      <c r="G50" s="534"/>
      <c r="H50" s="535"/>
      <c r="I50" s="474">
        <f>+I135+I181+I234+I292+I357+I433+I460+I487</f>
        <v>336000000</v>
      </c>
      <c r="J50" s="474">
        <f t="shared" ref="J50:K50" si="58">+J135+J181+J234+J292+J357+J433+J460+J487</f>
        <v>336000000</v>
      </c>
      <c r="K50" s="474">
        <f t="shared" si="58"/>
        <v>326900000</v>
      </c>
      <c r="L50" s="518">
        <f t="shared" si="44"/>
        <v>100</v>
      </c>
      <c r="M50" s="518">
        <f t="shared" si="45"/>
        <v>102.78372591006423</v>
      </c>
      <c r="R50" s="385"/>
      <c r="S50" s="385"/>
    </row>
    <row r="51" spans="1:19" s="141" customFormat="1" ht="18.75" hidden="1">
      <c r="A51" s="418" t="s">
        <v>5</v>
      </c>
      <c r="B51" s="419" t="s">
        <v>672</v>
      </c>
      <c r="C51" s="534"/>
      <c r="D51" s="534"/>
      <c r="E51" s="534"/>
      <c r="F51" s="534"/>
      <c r="G51" s="534"/>
      <c r="H51" s="535"/>
      <c r="I51" s="478">
        <f>+I52+I55</f>
        <v>11864583500</v>
      </c>
      <c r="J51" s="478">
        <f t="shared" ref="J51:K51" si="59">+J52+J55</f>
        <v>11601608396</v>
      </c>
      <c r="K51" s="478">
        <f t="shared" si="59"/>
        <v>14222785844</v>
      </c>
      <c r="L51" s="518">
        <f t="shared" si="44"/>
        <v>97.783528566342</v>
      </c>
      <c r="M51" s="518">
        <f t="shared" si="45"/>
        <v>81.57057642047134</v>
      </c>
      <c r="R51" s="385"/>
      <c r="S51" s="385"/>
    </row>
    <row r="52" spans="1:19" s="141" customFormat="1" ht="37.5" hidden="1">
      <c r="A52" s="417">
        <v>1</v>
      </c>
      <c r="B52" s="415" t="s">
        <v>673</v>
      </c>
      <c r="C52" s="534"/>
      <c r="D52" s="534"/>
      <c r="E52" s="534"/>
      <c r="F52" s="534"/>
      <c r="G52" s="534"/>
      <c r="H52" s="535"/>
      <c r="I52" s="479">
        <f>+I53+I54</f>
        <v>10861000000</v>
      </c>
      <c r="J52" s="479">
        <f t="shared" ref="J52:K52" si="60">+J53+J54</f>
        <v>10861000000</v>
      </c>
      <c r="K52" s="479">
        <f t="shared" si="60"/>
        <v>10999000000</v>
      </c>
      <c r="L52" s="519">
        <f t="shared" si="44"/>
        <v>100</v>
      </c>
      <c r="M52" s="519">
        <f t="shared" si="45"/>
        <v>98.745340485498673</v>
      </c>
      <c r="R52" s="385"/>
      <c r="S52" s="385"/>
    </row>
    <row r="53" spans="1:19" s="141" customFormat="1" ht="18.75" hidden="1">
      <c r="A53" s="416"/>
      <c r="B53" s="410" t="s">
        <v>607</v>
      </c>
      <c r="C53" s="534"/>
      <c r="D53" s="534"/>
      <c r="E53" s="534"/>
      <c r="F53" s="534"/>
      <c r="G53" s="534"/>
      <c r="H53" s="535"/>
      <c r="I53" s="474"/>
      <c r="J53" s="474"/>
      <c r="K53" s="474"/>
      <c r="L53" s="519" t="e">
        <f t="shared" si="44"/>
        <v>#DIV/0!</v>
      </c>
      <c r="M53" s="519" t="e">
        <f t="shared" si="45"/>
        <v>#DIV/0!</v>
      </c>
      <c r="R53" s="385"/>
      <c r="S53" s="385"/>
    </row>
    <row r="54" spans="1:19" s="141" customFormat="1" ht="18.75" hidden="1">
      <c r="A54" s="416"/>
      <c r="B54" s="410" t="s">
        <v>608</v>
      </c>
      <c r="C54" s="534"/>
      <c r="D54" s="534"/>
      <c r="E54" s="534"/>
      <c r="F54" s="534"/>
      <c r="G54" s="534"/>
      <c r="H54" s="535"/>
      <c r="I54" s="474">
        <f t="shared" ref="I54" si="61">+I551</f>
        <v>10861000000</v>
      </c>
      <c r="J54" s="474">
        <f t="shared" ref="J54:K54" si="62">+J551</f>
        <v>10861000000</v>
      </c>
      <c r="K54" s="474">
        <f t="shared" si="62"/>
        <v>10999000000</v>
      </c>
      <c r="L54" s="519">
        <f t="shared" si="44"/>
        <v>100</v>
      </c>
      <c r="M54" s="519">
        <f t="shared" si="45"/>
        <v>98.745340485498673</v>
      </c>
      <c r="R54" s="385"/>
      <c r="S54" s="385"/>
    </row>
    <row r="55" spans="1:19" s="141" customFormat="1" ht="18.75" hidden="1">
      <c r="A55" s="417">
        <v>2</v>
      </c>
      <c r="B55" s="415" t="s">
        <v>674</v>
      </c>
      <c r="C55" s="534"/>
      <c r="D55" s="534"/>
      <c r="E55" s="534"/>
      <c r="F55" s="534"/>
      <c r="G55" s="534"/>
      <c r="H55" s="535"/>
      <c r="I55" s="479">
        <f>+I56+I59</f>
        <v>1003583500</v>
      </c>
      <c r="J55" s="479">
        <f t="shared" ref="J55:K55" si="63">+J56+J59</f>
        <v>740608396</v>
      </c>
      <c r="K55" s="479">
        <f t="shared" si="63"/>
        <v>3223785844</v>
      </c>
      <c r="L55" s="518">
        <f t="shared" si="44"/>
        <v>73.796390235590763</v>
      </c>
      <c r="M55" s="518">
        <f t="shared" si="45"/>
        <v>22.973250452674922</v>
      </c>
      <c r="R55" s="385"/>
      <c r="S55" s="385"/>
    </row>
    <row r="56" spans="1:19" s="141" customFormat="1" ht="18.75" hidden="1">
      <c r="A56" s="420" t="s">
        <v>14</v>
      </c>
      <c r="B56" s="421" t="s">
        <v>498</v>
      </c>
      <c r="C56" s="534"/>
      <c r="D56" s="534"/>
      <c r="E56" s="534"/>
      <c r="F56" s="534"/>
      <c r="G56" s="534"/>
      <c r="H56" s="535"/>
      <c r="I56" s="475">
        <f>+I57+I58</f>
        <v>28000000</v>
      </c>
      <c r="J56" s="475">
        <f t="shared" ref="J56:K56" si="64">+J57+J58</f>
        <v>28000000</v>
      </c>
      <c r="K56" s="475">
        <f t="shared" si="64"/>
        <v>30000000</v>
      </c>
      <c r="L56" s="518">
        <f t="shared" si="44"/>
        <v>100</v>
      </c>
      <c r="M56" s="519">
        <f t="shared" si="45"/>
        <v>93.333333333333329</v>
      </c>
      <c r="R56" s="385"/>
      <c r="S56" s="385"/>
    </row>
    <row r="57" spans="1:19" s="141" customFormat="1" ht="18.75" hidden="1">
      <c r="A57" s="416"/>
      <c r="B57" s="410" t="s">
        <v>607</v>
      </c>
      <c r="C57" s="534"/>
      <c r="D57" s="534"/>
      <c r="E57" s="534"/>
      <c r="F57" s="534"/>
      <c r="G57" s="534"/>
      <c r="H57" s="535"/>
      <c r="I57" s="474"/>
      <c r="J57" s="474"/>
      <c r="K57" s="474"/>
      <c r="L57" s="519" t="e">
        <f t="shared" si="44"/>
        <v>#DIV/0!</v>
      </c>
      <c r="M57" s="519" t="e">
        <f t="shared" si="45"/>
        <v>#DIV/0!</v>
      </c>
      <c r="R57" s="385"/>
      <c r="S57" s="385"/>
    </row>
    <row r="58" spans="1:19" s="141" customFormat="1" ht="18.75" hidden="1">
      <c r="A58" s="416"/>
      <c r="B58" s="410" t="s">
        <v>608</v>
      </c>
      <c r="C58" s="534"/>
      <c r="D58" s="534"/>
      <c r="E58" s="534"/>
      <c r="F58" s="534"/>
      <c r="G58" s="534"/>
      <c r="H58" s="535"/>
      <c r="I58" s="474">
        <f t="shared" ref="I58" si="65">+I495</f>
        <v>28000000</v>
      </c>
      <c r="J58" s="474">
        <f t="shared" ref="J58:K58" si="66">+J495</f>
        <v>28000000</v>
      </c>
      <c r="K58" s="474">
        <f t="shared" si="66"/>
        <v>30000000</v>
      </c>
      <c r="L58" s="518">
        <f t="shared" si="44"/>
        <v>100</v>
      </c>
      <c r="M58" s="519">
        <f t="shared" si="45"/>
        <v>93.333333333333329</v>
      </c>
      <c r="R58" s="385"/>
      <c r="S58" s="385"/>
    </row>
    <row r="59" spans="1:19" s="268" customFormat="1" ht="37.5" hidden="1">
      <c r="A59" s="420" t="s">
        <v>15</v>
      </c>
      <c r="B59" s="421" t="s">
        <v>106</v>
      </c>
      <c r="C59" s="534"/>
      <c r="D59" s="534"/>
      <c r="E59" s="534"/>
      <c r="F59" s="534"/>
      <c r="G59" s="534"/>
      <c r="H59" s="535"/>
      <c r="I59" s="475">
        <f>+I60+I61</f>
        <v>975583500</v>
      </c>
      <c r="J59" s="475">
        <f t="shared" ref="J59:K59" si="67">+J60+J61</f>
        <v>712608396</v>
      </c>
      <c r="K59" s="475">
        <f t="shared" si="67"/>
        <v>3193785844</v>
      </c>
      <c r="L59" s="518">
        <f t="shared" si="44"/>
        <v>73.044326395434126</v>
      </c>
      <c r="M59" s="518">
        <f t="shared" si="45"/>
        <v>22.312341240372785</v>
      </c>
      <c r="R59" s="389"/>
      <c r="S59" s="389"/>
    </row>
    <row r="60" spans="1:19" s="268" customFormat="1" ht="18.75" hidden="1">
      <c r="A60" s="416"/>
      <c r="B60" s="410" t="s">
        <v>607</v>
      </c>
      <c r="C60" s="534"/>
      <c r="D60" s="534"/>
      <c r="E60" s="534"/>
      <c r="F60" s="534"/>
      <c r="G60" s="534"/>
      <c r="H60" s="535"/>
      <c r="I60" s="474"/>
      <c r="J60" s="474"/>
      <c r="K60" s="474"/>
      <c r="L60" s="519" t="e">
        <f t="shared" si="44"/>
        <v>#DIV/0!</v>
      </c>
      <c r="M60" s="519" t="e">
        <f t="shared" si="45"/>
        <v>#DIV/0!</v>
      </c>
      <c r="R60" s="389"/>
      <c r="S60" s="389"/>
    </row>
    <row r="61" spans="1:19" s="268" customFormat="1" ht="18.75" hidden="1">
      <c r="A61" s="416"/>
      <c r="B61" s="410" t="s">
        <v>608</v>
      </c>
      <c r="C61" s="534"/>
      <c r="D61" s="534"/>
      <c r="E61" s="534"/>
      <c r="F61" s="534"/>
      <c r="G61" s="534"/>
      <c r="H61" s="535"/>
      <c r="I61" s="474">
        <f>+I501+I517+I522+I527+I532+I537+I544</f>
        <v>975583500</v>
      </c>
      <c r="J61" s="474">
        <f t="shared" ref="J61:K61" si="68">+J501+J517+J522+J527+J532+J537+J544</f>
        <v>712608396</v>
      </c>
      <c r="K61" s="474">
        <f t="shared" si="68"/>
        <v>3193785844</v>
      </c>
      <c r="L61" s="518">
        <f t="shared" si="44"/>
        <v>73.044326395434126</v>
      </c>
      <c r="M61" s="518">
        <f t="shared" si="45"/>
        <v>22.312341240372785</v>
      </c>
      <c r="R61" s="389"/>
      <c r="S61" s="389"/>
    </row>
    <row r="62" spans="1:19" s="267" customFormat="1" ht="18.75" hidden="1">
      <c r="A62" s="418" t="s">
        <v>90</v>
      </c>
      <c r="B62" s="422" t="s">
        <v>675</v>
      </c>
      <c r="C62" s="404"/>
      <c r="D62" s="404"/>
      <c r="E62" s="404"/>
      <c r="F62" s="404"/>
      <c r="G62" s="404"/>
      <c r="H62" s="517"/>
      <c r="I62" s="478">
        <f t="shared" ref="I62:K63" si="69">+I63</f>
        <v>120000000</v>
      </c>
      <c r="J62" s="478">
        <f t="shared" si="69"/>
        <v>120000000</v>
      </c>
      <c r="K62" s="478">
        <f t="shared" si="69"/>
        <v>0</v>
      </c>
      <c r="L62" s="519">
        <f t="shared" si="44"/>
        <v>100</v>
      </c>
      <c r="M62" s="519" t="e">
        <f t="shared" si="45"/>
        <v>#DIV/0!</v>
      </c>
      <c r="R62" s="390"/>
      <c r="S62" s="390"/>
    </row>
    <row r="63" spans="1:19" s="268" customFormat="1" ht="19.5" hidden="1">
      <c r="A63" s="420"/>
      <c r="B63" s="423" t="s">
        <v>529</v>
      </c>
      <c r="C63" s="534"/>
      <c r="D63" s="534"/>
      <c r="E63" s="534"/>
      <c r="F63" s="534"/>
      <c r="G63" s="534"/>
      <c r="H63" s="535"/>
      <c r="I63" s="475">
        <f t="shared" si="69"/>
        <v>120000000</v>
      </c>
      <c r="J63" s="475">
        <f t="shared" si="69"/>
        <v>120000000</v>
      </c>
      <c r="K63" s="475">
        <f t="shared" si="69"/>
        <v>0</v>
      </c>
      <c r="L63" s="519">
        <f t="shared" si="44"/>
        <v>100</v>
      </c>
      <c r="M63" s="519" t="e">
        <f t="shared" si="45"/>
        <v>#DIV/0!</v>
      </c>
      <c r="R63" s="389"/>
      <c r="S63" s="389"/>
    </row>
    <row r="64" spans="1:19" s="268" customFormat="1" ht="37.5" hidden="1">
      <c r="A64" s="416"/>
      <c r="B64" s="424" t="s">
        <v>502</v>
      </c>
      <c r="C64" s="534"/>
      <c r="D64" s="534"/>
      <c r="E64" s="534"/>
      <c r="F64" s="534"/>
      <c r="G64" s="534"/>
      <c r="H64" s="535"/>
      <c r="I64" s="474">
        <f t="shared" ref="I64" si="70">+I556</f>
        <v>120000000</v>
      </c>
      <c r="J64" s="474">
        <f t="shared" ref="J64:K64" si="71">+J556</f>
        <v>120000000</v>
      </c>
      <c r="K64" s="474">
        <f t="shared" si="71"/>
        <v>0</v>
      </c>
      <c r="L64" s="519">
        <f t="shared" si="44"/>
        <v>100</v>
      </c>
      <c r="M64" s="519" t="e">
        <f t="shared" si="45"/>
        <v>#DIV/0!</v>
      </c>
      <c r="R64" s="389"/>
      <c r="S64" s="389"/>
    </row>
    <row r="65" spans="1:19" ht="33" hidden="1">
      <c r="A65" s="425"/>
      <c r="B65" s="425" t="s">
        <v>676</v>
      </c>
      <c r="C65" s="536" t="s">
        <v>340</v>
      </c>
      <c r="D65" s="536">
        <v>412</v>
      </c>
      <c r="E65" s="536">
        <v>280</v>
      </c>
      <c r="F65" s="536">
        <v>12</v>
      </c>
      <c r="G65" s="123"/>
      <c r="H65" s="269"/>
      <c r="I65" s="480"/>
      <c r="J65" s="480"/>
      <c r="K65" s="554"/>
      <c r="L65" s="519" t="e">
        <f t="shared" si="44"/>
        <v>#DIV/0!</v>
      </c>
      <c r="M65" s="519" t="e">
        <f t="shared" si="45"/>
        <v>#DIV/0!</v>
      </c>
    </row>
    <row r="66" spans="1:19" ht="18.75" hidden="1">
      <c r="A66" s="426" t="s">
        <v>89</v>
      </c>
      <c r="B66" s="427" t="s">
        <v>19</v>
      </c>
      <c r="C66" s="123"/>
      <c r="D66" s="123"/>
      <c r="E66" s="123">
        <v>281</v>
      </c>
      <c r="F66" s="123">
        <v>12</v>
      </c>
      <c r="G66" s="123"/>
      <c r="H66" s="269">
        <v>200</v>
      </c>
      <c r="I66" s="481"/>
      <c r="J66" s="480"/>
      <c r="K66" s="554"/>
      <c r="L66" s="519" t="e">
        <f t="shared" si="44"/>
        <v>#DIV/0!</v>
      </c>
      <c r="M66" s="519" t="e">
        <f t="shared" si="45"/>
        <v>#DIV/0!</v>
      </c>
    </row>
    <row r="67" spans="1:19" ht="18.75" hidden="1">
      <c r="A67" s="428" t="s">
        <v>3</v>
      </c>
      <c r="B67" s="429" t="s">
        <v>25</v>
      </c>
      <c r="C67" s="521"/>
      <c r="D67" s="521"/>
      <c r="E67" s="521"/>
      <c r="F67" s="521"/>
      <c r="G67" s="521"/>
      <c r="H67" s="521"/>
      <c r="I67" s="470">
        <f>I68+I70+I73</f>
        <v>6582000000</v>
      </c>
      <c r="J67" s="470">
        <f t="shared" ref="J67:K67" si="72">J68+J70+J73</f>
        <v>6418911879</v>
      </c>
      <c r="K67" s="556">
        <f t="shared" si="72"/>
        <v>6075125896</v>
      </c>
      <c r="L67" s="518">
        <f t="shared" si="44"/>
        <v>97.522210255241575</v>
      </c>
      <c r="M67" s="518">
        <f t="shared" si="45"/>
        <v>105.65891125361462</v>
      </c>
    </row>
    <row r="68" spans="1:19" ht="18.75" hidden="1">
      <c r="A68" s="420">
        <v>1</v>
      </c>
      <c r="B68" s="429" t="s">
        <v>677</v>
      </c>
      <c r="C68" s="269"/>
      <c r="D68" s="269"/>
      <c r="E68" s="537">
        <v>321</v>
      </c>
      <c r="F68" s="537">
        <v>12</v>
      </c>
      <c r="G68" s="537"/>
      <c r="H68" s="537">
        <v>200</v>
      </c>
      <c r="I68" s="470">
        <f>I69</f>
        <v>40000000</v>
      </c>
      <c r="J68" s="470">
        <f t="shared" ref="J68:K68" si="73">J69</f>
        <v>162299429</v>
      </c>
      <c r="K68" s="556">
        <f t="shared" si="73"/>
        <v>205605496</v>
      </c>
      <c r="L68" s="518">
        <f t="shared" si="44"/>
        <v>405.74857250000002</v>
      </c>
      <c r="M68" s="518">
        <f t="shared" si="45"/>
        <v>78.9373008783773</v>
      </c>
    </row>
    <row r="69" spans="1:19" ht="18.75" hidden="1">
      <c r="A69" s="416"/>
      <c r="B69" s="424" t="s">
        <v>21</v>
      </c>
      <c r="C69" s="521"/>
      <c r="D69" s="521"/>
      <c r="E69" s="521"/>
      <c r="F69" s="521"/>
      <c r="G69" s="521"/>
      <c r="H69" s="521"/>
      <c r="I69" s="472">
        <v>40000000</v>
      </c>
      <c r="J69" s="474">
        <v>162299429</v>
      </c>
      <c r="K69" s="469">
        <v>205605496</v>
      </c>
      <c r="L69" s="518">
        <f t="shared" si="44"/>
        <v>405.74857250000002</v>
      </c>
      <c r="M69" s="518">
        <f t="shared" si="45"/>
        <v>78.9373008783773</v>
      </c>
    </row>
    <row r="70" spans="1:19" s="145" customFormat="1" ht="33" hidden="1">
      <c r="A70" s="420">
        <v>2</v>
      </c>
      <c r="B70" s="429" t="s">
        <v>678</v>
      </c>
      <c r="C70" s="536" t="s">
        <v>340</v>
      </c>
      <c r="D70" s="536">
        <v>412</v>
      </c>
      <c r="E70" s="537" t="s">
        <v>378</v>
      </c>
      <c r="F70" s="537">
        <v>12</v>
      </c>
      <c r="G70" s="537"/>
      <c r="H70" s="537"/>
      <c r="I70" s="470">
        <f>I71+I72</f>
        <v>6297000000</v>
      </c>
      <c r="J70" s="470">
        <f t="shared" ref="J70:K70" si="74">J71+J72</f>
        <v>6074361300</v>
      </c>
      <c r="K70" s="556">
        <f t="shared" si="74"/>
        <v>5725070400</v>
      </c>
      <c r="L70" s="518">
        <f t="shared" si="44"/>
        <v>96.464368747022391</v>
      </c>
      <c r="M70" s="518">
        <f t="shared" si="45"/>
        <v>106.10107606711701</v>
      </c>
      <c r="R70" s="386"/>
      <c r="S70" s="386"/>
    </row>
    <row r="71" spans="1:19" s="145" customFormat="1" ht="18.75" hidden="1">
      <c r="A71" s="416"/>
      <c r="B71" s="424" t="s">
        <v>22</v>
      </c>
      <c r="C71" s="537"/>
      <c r="D71" s="537"/>
      <c r="E71" s="537" t="s">
        <v>497</v>
      </c>
      <c r="F71" s="537">
        <v>12</v>
      </c>
      <c r="G71" s="537"/>
      <c r="H71" s="537">
        <v>200</v>
      </c>
      <c r="I71" s="472">
        <v>6292000000</v>
      </c>
      <c r="J71" s="716">
        <v>6067261300</v>
      </c>
      <c r="K71" s="469">
        <v>5721670400</v>
      </c>
      <c r="L71" s="518">
        <f t="shared" si="44"/>
        <v>96.428183407501592</v>
      </c>
      <c r="M71" s="518">
        <f t="shared" si="45"/>
        <v>106.04003509185009</v>
      </c>
      <c r="R71" s="386"/>
      <c r="S71" s="386"/>
    </row>
    <row r="72" spans="1:19" s="145" customFormat="1" ht="37.5" hidden="1">
      <c r="A72" s="416"/>
      <c r="B72" s="424" t="s">
        <v>23</v>
      </c>
      <c r="C72" s="537"/>
      <c r="D72" s="537"/>
      <c r="E72" s="537"/>
      <c r="F72" s="537"/>
      <c r="G72" s="537"/>
      <c r="H72" s="537"/>
      <c r="I72" s="472">
        <v>5000000</v>
      </c>
      <c r="J72" s="717">
        <v>7100000</v>
      </c>
      <c r="K72" s="469">
        <v>3400000</v>
      </c>
      <c r="L72" s="518">
        <f t="shared" si="44"/>
        <v>142</v>
      </c>
      <c r="M72" s="518">
        <f t="shared" si="45"/>
        <v>208.82352941176472</v>
      </c>
      <c r="R72" s="386"/>
      <c r="S72" s="386"/>
    </row>
    <row r="73" spans="1:19" s="145" customFormat="1" ht="18.75" hidden="1">
      <c r="A73" s="420">
        <v>3</v>
      </c>
      <c r="B73" s="429" t="s">
        <v>679</v>
      </c>
      <c r="C73" s="537"/>
      <c r="D73" s="537"/>
      <c r="E73" s="537"/>
      <c r="F73" s="537"/>
      <c r="G73" s="537"/>
      <c r="H73" s="537"/>
      <c r="I73" s="470">
        <f>I74</f>
        <v>245000000</v>
      </c>
      <c r="J73" s="470">
        <f t="shared" ref="J73:K73" si="75">J74</f>
        <v>182251150</v>
      </c>
      <c r="K73" s="556">
        <f t="shared" si="75"/>
        <v>144450000</v>
      </c>
      <c r="L73" s="518">
        <f t="shared" si="44"/>
        <v>74.388224489795917</v>
      </c>
      <c r="M73" s="518">
        <f t="shared" si="45"/>
        <v>126.16902042229145</v>
      </c>
      <c r="R73" s="386"/>
      <c r="S73" s="386"/>
    </row>
    <row r="74" spans="1:19" ht="37.5" hidden="1">
      <c r="A74" s="416"/>
      <c r="B74" s="424" t="s">
        <v>345</v>
      </c>
      <c r="C74" s="521"/>
      <c r="D74" s="521"/>
      <c r="E74" s="521"/>
      <c r="F74" s="521"/>
      <c r="G74" s="521" t="s">
        <v>172</v>
      </c>
      <c r="H74" s="521">
        <v>200</v>
      </c>
      <c r="I74" s="472">
        <v>245000000</v>
      </c>
      <c r="J74" s="474">
        <v>182251150</v>
      </c>
      <c r="K74" s="469">
        <v>144450000</v>
      </c>
      <c r="L74" s="518">
        <f t="shared" si="44"/>
        <v>74.388224489795917</v>
      </c>
      <c r="M74" s="518">
        <f t="shared" si="45"/>
        <v>126.16902042229145</v>
      </c>
    </row>
    <row r="75" spans="1:19" ht="18.75" hidden="1">
      <c r="A75" s="428" t="s">
        <v>5</v>
      </c>
      <c r="B75" s="429" t="s">
        <v>17</v>
      </c>
      <c r="C75" s="521"/>
      <c r="D75" s="521"/>
      <c r="E75" s="521"/>
      <c r="F75" s="521"/>
      <c r="G75" s="521"/>
      <c r="H75" s="521"/>
      <c r="I75" s="470"/>
      <c r="J75" s="475"/>
      <c r="K75" s="553"/>
      <c r="L75" s="519" t="e">
        <f t="shared" si="44"/>
        <v>#DIV/0!</v>
      </c>
      <c r="M75" s="519" t="e">
        <f t="shared" si="45"/>
        <v>#DIV/0!</v>
      </c>
    </row>
    <row r="76" spans="1:19" ht="18.75" hidden="1">
      <c r="A76" s="428" t="s">
        <v>90</v>
      </c>
      <c r="B76" s="429" t="s">
        <v>18</v>
      </c>
      <c r="C76" s="521"/>
      <c r="D76" s="521"/>
      <c r="E76" s="521"/>
      <c r="F76" s="521"/>
      <c r="G76" s="521"/>
      <c r="H76" s="521"/>
      <c r="I76" s="470">
        <f>I77+I79+I82</f>
        <v>6582000000</v>
      </c>
      <c r="J76" s="470">
        <f t="shared" ref="J76:K76" si="76">J77+J79+J82</f>
        <v>6418911879</v>
      </c>
      <c r="K76" s="556">
        <f t="shared" si="76"/>
        <v>6075125896</v>
      </c>
      <c r="L76" s="518">
        <f t="shared" si="44"/>
        <v>97.522210255241575</v>
      </c>
      <c r="M76" s="518">
        <f t="shared" si="45"/>
        <v>105.65891125361462</v>
      </c>
    </row>
    <row r="77" spans="1:19" s="145" customFormat="1" ht="33" hidden="1">
      <c r="A77" s="420">
        <v>1</v>
      </c>
      <c r="B77" s="429" t="s">
        <v>677</v>
      </c>
      <c r="C77" s="536" t="s">
        <v>340</v>
      </c>
      <c r="D77" s="536">
        <v>412</v>
      </c>
      <c r="E77" s="537">
        <v>100</v>
      </c>
      <c r="F77" s="537">
        <v>12</v>
      </c>
      <c r="G77" s="537"/>
      <c r="H77" s="537"/>
      <c r="I77" s="470">
        <f>I78</f>
        <v>40000000</v>
      </c>
      <c r="J77" s="470">
        <f t="shared" ref="J77:K77" si="77">J78</f>
        <v>162299429</v>
      </c>
      <c r="K77" s="556">
        <f t="shared" si="77"/>
        <v>205605496</v>
      </c>
      <c r="L77" s="518">
        <f t="shared" si="44"/>
        <v>405.74857250000002</v>
      </c>
      <c r="M77" s="518">
        <f t="shared" si="45"/>
        <v>78.9373008783773</v>
      </c>
      <c r="R77" s="386"/>
      <c r="S77" s="386"/>
    </row>
    <row r="78" spans="1:19" s="145" customFormat="1" ht="18.75" hidden="1">
      <c r="A78" s="416"/>
      <c r="B78" s="430" t="s">
        <v>680</v>
      </c>
      <c r="C78" s="537"/>
      <c r="D78" s="537"/>
      <c r="E78" s="537">
        <v>103</v>
      </c>
      <c r="F78" s="537">
        <v>12</v>
      </c>
      <c r="G78" s="537"/>
      <c r="H78" s="537">
        <v>200</v>
      </c>
      <c r="I78" s="472">
        <f>I69</f>
        <v>40000000</v>
      </c>
      <c r="J78" s="474">
        <f>+J69</f>
        <v>162299429</v>
      </c>
      <c r="K78" s="469">
        <f>+K69</f>
        <v>205605496</v>
      </c>
      <c r="L78" s="518">
        <f t="shared" si="44"/>
        <v>405.74857250000002</v>
      </c>
      <c r="M78" s="518">
        <f t="shared" si="45"/>
        <v>78.9373008783773</v>
      </c>
      <c r="R78" s="386"/>
      <c r="S78" s="386"/>
    </row>
    <row r="79" spans="1:19" ht="18.75" hidden="1">
      <c r="A79" s="420">
        <v>2</v>
      </c>
      <c r="B79" s="429" t="s">
        <v>678</v>
      </c>
      <c r="C79" s="521"/>
      <c r="D79" s="521"/>
      <c r="E79" s="521"/>
      <c r="F79" s="521"/>
      <c r="G79" s="521"/>
      <c r="H79" s="521"/>
      <c r="I79" s="470">
        <f>I80+I81</f>
        <v>6297000000</v>
      </c>
      <c r="J79" s="470">
        <f t="shared" ref="J79:K79" si="78">J80+J81</f>
        <v>6074361300</v>
      </c>
      <c r="K79" s="556">
        <f t="shared" si="78"/>
        <v>5725070400</v>
      </c>
      <c r="L79" s="518">
        <f t="shared" si="44"/>
        <v>96.464368747022391</v>
      </c>
      <c r="M79" s="518">
        <f t="shared" si="45"/>
        <v>106.10107606711701</v>
      </c>
    </row>
    <row r="80" spans="1:19" ht="18.75" hidden="1">
      <c r="A80" s="416"/>
      <c r="B80" s="430" t="s">
        <v>681</v>
      </c>
      <c r="C80" s="530">
        <v>1029501</v>
      </c>
      <c r="D80" s="530">
        <v>412</v>
      </c>
      <c r="E80" s="530"/>
      <c r="F80" s="530"/>
      <c r="G80" s="530"/>
      <c r="H80" s="531"/>
      <c r="I80" s="472">
        <f t="shared" ref="I80:I81" si="79">I71</f>
        <v>6292000000</v>
      </c>
      <c r="J80" s="474">
        <f>+J71</f>
        <v>6067261300</v>
      </c>
      <c r="K80" s="469">
        <f>+K71</f>
        <v>5721670400</v>
      </c>
      <c r="L80" s="518">
        <f t="shared" si="44"/>
        <v>96.428183407501592</v>
      </c>
      <c r="M80" s="518">
        <f t="shared" si="45"/>
        <v>106.04003509185009</v>
      </c>
      <c r="N80" s="129">
        <f>+I80+I382</f>
        <v>7726564000</v>
      </c>
    </row>
    <row r="81" spans="1:29" ht="37.5" hidden="1">
      <c r="A81" s="416"/>
      <c r="B81" s="430" t="s">
        <v>682</v>
      </c>
      <c r="C81" s="123">
        <v>1029501</v>
      </c>
      <c r="D81" s="123">
        <v>412</v>
      </c>
      <c r="E81" s="123">
        <v>340</v>
      </c>
      <c r="F81" s="123">
        <v>13</v>
      </c>
      <c r="G81" s="123"/>
      <c r="H81" s="269"/>
      <c r="I81" s="472">
        <f t="shared" si="79"/>
        <v>5000000</v>
      </c>
      <c r="J81" s="474">
        <f>+J72</f>
        <v>7100000</v>
      </c>
      <c r="K81" s="469">
        <f>+K72</f>
        <v>3400000</v>
      </c>
      <c r="L81" s="518">
        <f t="shared" si="44"/>
        <v>142</v>
      </c>
      <c r="M81" s="518">
        <f t="shared" si="45"/>
        <v>208.82352941176472</v>
      </c>
    </row>
    <row r="82" spans="1:29" s="171" customFormat="1" ht="18.75" hidden="1">
      <c r="A82" s="420">
        <v>3</v>
      </c>
      <c r="B82" s="429" t="s">
        <v>679</v>
      </c>
      <c r="C82" s="123"/>
      <c r="D82" s="123"/>
      <c r="E82" s="123"/>
      <c r="F82" s="123"/>
      <c r="G82" s="123"/>
      <c r="H82" s="269"/>
      <c r="I82" s="470">
        <f>I83</f>
        <v>245000000</v>
      </c>
      <c r="J82" s="470">
        <f t="shared" ref="J82:K82" si="80">J83</f>
        <v>182251150</v>
      </c>
      <c r="K82" s="556">
        <f t="shared" si="80"/>
        <v>144450000</v>
      </c>
      <c r="L82" s="518">
        <f t="shared" si="44"/>
        <v>74.388224489795917</v>
      </c>
      <c r="M82" s="518">
        <f t="shared" si="45"/>
        <v>126.16902042229145</v>
      </c>
      <c r="R82" s="391"/>
      <c r="S82" s="391"/>
    </row>
    <row r="83" spans="1:29" s="141" customFormat="1" ht="37.5" hidden="1">
      <c r="A83" s="416"/>
      <c r="B83" s="424" t="s">
        <v>601</v>
      </c>
      <c r="C83" s="123">
        <v>1029501</v>
      </c>
      <c r="D83" s="123">
        <v>412</v>
      </c>
      <c r="E83" s="123">
        <v>341</v>
      </c>
      <c r="F83" s="123">
        <v>13</v>
      </c>
      <c r="G83" s="123"/>
      <c r="H83" s="269">
        <v>200</v>
      </c>
      <c r="I83" s="472">
        <f>I74</f>
        <v>245000000</v>
      </c>
      <c r="J83" s="474">
        <f>+J74</f>
        <v>182251150</v>
      </c>
      <c r="K83" s="469">
        <f>+K74</f>
        <v>144450000</v>
      </c>
      <c r="L83" s="518">
        <f t="shared" si="44"/>
        <v>74.388224489795917</v>
      </c>
      <c r="M83" s="518">
        <f t="shared" si="45"/>
        <v>126.16902042229145</v>
      </c>
      <c r="R83" s="385"/>
      <c r="S83" s="385"/>
    </row>
    <row r="84" spans="1:29" ht="18.75" hidden="1">
      <c r="A84" s="426" t="s">
        <v>68</v>
      </c>
      <c r="B84" s="427" t="s">
        <v>4</v>
      </c>
      <c r="C84" s="520"/>
      <c r="D84" s="520"/>
      <c r="E84" s="520"/>
      <c r="F84" s="520"/>
      <c r="G84" s="520"/>
      <c r="H84" s="521"/>
      <c r="I84" s="482">
        <f>I86+I492+I556</f>
        <v>115687627322</v>
      </c>
      <c r="J84" s="482">
        <f t="shared" ref="J84:K84" si="81">J86+J492+J556</f>
        <v>109978643339</v>
      </c>
      <c r="K84" s="482">
        <f t="shared" si="81"/>
        <v>97928552613</v>
      </c>
      <c r="L84" s="518">
        <f t="shared" si="44"/>
        <v>95.065173246997404</v>
      </c>
      <c r="M84" s="518">
        <f t="shared" si="45"/>
        <v>112.30498195313912</v>
      </c>
      <c r="AA84" s="714">
        <v>115140627322</v>
      </c>
    </row>
    <row r="85" spans="1:29" ht="18.75" hidden="1">
      <c r="A85" s="426"/>
      <c r="B85" s="425" t="s">
        <v>84</v>
      </c>
      <c r="C85" s="404"/>
      <c r="D85" s="404"/>
      <c r="E85" s="404"/>
      <c r="F85" s="404"/>
      <c r="G85" s="404"/>
      <c r="H85" s="517"/>
      <c r="I85" s="482">
        <f>+I86+I492</f>
        <v>115567627322</v>
      </c>
      <c r="J85" s="482">
        <f t="shared" ref="J85:K85" si="82">+J86+J492</f>
        <v>109858643339</v>
      </c>
      <c r="K85" s="482">
        <f t="shared" si="82"/>
        <v>97928552613</v>
      </c>
      <c r="L85" s="518">
        <f t="shared" si="44"/>
        <v>95.060049154515085</v>
      </c>
      <c r="M85" s="518">
        <f t="shared" si="45"/>
        <v>112.18244363637851</v>
      </c>
      <c r="AA85" s="129">
        <f>+AA84-I84</f>
        <v>-547000000</v>
      </c>
    </row>
    <row r="86" spans="1:29" ht="18.75" hidden="1">
      <c r="A86" s="431" t="s">
        <v>683</v>
      </c>
      <c r="B86" s="432" t="s">
        <v>86</v>
      </c>
      <c r="C86" s="404"/>
      <c r="D86" s="404"/>
      <c r="E86" s="404"/>
      <c r="F86" s="404"/>
      <c r="G86" s="404"/>
      <c r="H86" s="517"/>
      <c r="I86" s="483">
        <f>+I87+I153+I195+I262+I328+I399+I436+I463</f>
        <v>103703043822</v>
      </c>
      <c r="J86" s="483">
        <f t="shared" ref="J86:K86" si="83">+J87+J153+J195+J262+J328+J399+J436+J463</f>
        <v>98257034943</v>
      </c>
      <c r="K86" s="483">
        <f t="shared" si="83"/>
        <v>83705766769</v>
      </c>
      <c r="L86" s="518">
        <f t="shared" si="44"/>
        <v>94.74845802178406</v>
      </c>
      <c r="M86" s="518">
        <f t="shared" si="45"/>
        <v>117.3838299745305</v>
      </c>
    </row>
    <row r="87" spans="1:29" ht="19.5" hidden="1" thickBot="1">
      <c r="A87" s="433" t="s">
        <v>3</v>
      </c>
      <c r="B87" s="434" t="s">
        <v>302</v>
      </c>
      <c r="C87" s="520"/>
      <c r="D87" s="520"/>
      <c r="E87" s="520"/>
      <c r="F87" s="520"/>
      <c r="G87" s="520"/>
      <c r="H87" s="521"/>
      <c r="I87" s="484">
        <f>I88+I135+I138+I143+I150</f>
        <v>15426343676</v>
      </c>
      <c r="J87" s="484">
        <f t="shared" ref="J87:K87" si="84">J88+J135+J138+J143+J150</f>
        <v>14588681038</v>
      </c>
      <c r="K87" s="484">
        <f t="shared" si="84"/>
        <v>10053442575</v>
      </c>
      <c r="L87" s="518">
        <f t="shared" si="44"/>
        <v>94.569921067535802</v>
      </c>
      <c r="M87" s="518">
        <f t="shared" si="45"/>
        <v>145.11129823606717</v>
      </c>
      <c r="AA87" s="129">
        <v>15288343676</v>
      </c>
      <c r="AB87" s="129"/>
      <c r="AC87" s="129"/>
    </row>
    <row r="88" spans="1:29" s="174" customFormat="1" ht="19.5" hidden="1" thickBot="1">
      <c r="A88" s="428">
        <v>1</v>
      </c>
      <c r="B88" s="429" t="s">
        <v>6</v>
      </c>
      <c r="C88" s="123">
        <v>1029501</v>
      </c>
      <c r="D88" s="123">
        <v>412</v>
      </c>
      <c r="E88" s="123">
        <v>341</v>
      </c>
      <c r="F88" s="123">
        <v>14</v>
      </c>
      <c r="G88" s="123"/>
      <c r="H88" s="269">
        <v>200</v>
      </c>
      <c r="I88" s="470">
        <f>+I89+I101</f>
        <v>13264628676</v>
      </c>
      <c r="J88" s="470">
        <f t="shared" ref="J88:K88" si="85">+J89+J101</f>
        <v>12911746871</v>
      </c>
      <c r="K88" s="470">
        <f t="shared" si="85"/>
        <v>8569209825</v>
      </c>
      <c r="L88" s="518">
        <f t="shared" si="44"/>
        <v>97.339678225305491</v>
      </c>
      <c r="M88" s="518">
        <f t="shared" si="45"/>
        <v>150.67604988888226</v>
      </c>
      <c r="R88" s="392"/>
      <c r="S88" s="392"/>
      <c r="AA88" s="575"/>
    </row>
    <row r="89" spans="1:29" ht="19.5" hidden="1">
      <c r="A89" s="435" t="s">
        <v>8</v>
      </c>
      <c r="B89" s="436" t="s">
        <v>28</v>
      </c>
      <c r="C89" s="404"/>
      <c r="D89" s="404"/>
      <c r="E89" s="404"/>
      <c r="F89" s="404"/>
      <c r="G89" s="404"/>
      <c r="H89" s="517"/>
      <c r="I89" s="485">
        <f>I90+I99</f>
        <v>8457258676</v>
      </c>
      <c r="J89" s="485">
        <f t="shared" ref="J89:K89" si="86">J90+J99</f>
        <v>8447258676</v>
      </c>
      <c r="K89" s="485">
        <f t="shared" si="86"/>
        <v>7117552324</v>
      </c>
      <c r="L89" s="518">
        <f t="shared" si="44"/>
        <v>99.881758376051835</v>
      </c>
      <c r="M89" s="518">
        <f t="shared" si="45"/>
        <v>118.68207343578356</v>
      </c>
      <c r="AA89" s="129">
        <f>+AA87-I87</f>
        <v>-138000000</v>
      </c>
    </row>
    <row r="90" spans="1:29" ht="18.75" hidden="1">
      <c r="A90" s="428" t="s">
        <v>14</v>
      </c>
      <c r="B90" s="421" t="s">
        <v>67</v>
      </c>
      <c r="C90" s="520"/>
      <c r="D90" s="520"/>
      <c r="E90" s="520"/>
      <c r="F90" s="520" t="s">
        <v>339</v>
      </c>
      <c r="G90" s="520"/>
      <c r="H90" s="521">
        <v>200</v>
      </c>
      <c r="I90" s="486">
        <f t="shared" ref="I90" si="87">I91+I97+I98</f>
        <v>8457258676</v>
      </c>
      <c r="J90" s="486">
        <f t="shared" ref="J90:K90" si="88">J91+J97+J98</f>
        <v>8447258676</v>
      </c>
      <c r="K90" s="486">
        <f t="shared" si="88"/>
        <v>6518000000</v>
      </c>
      <c r="L90" s="518">
        <f t="shared" si="44"/>
        <v>99.881758376051835</v>
      </c>
      <c r="M90" s="518">
        <f t="shared" si="45"/>
        <v>129.59893642221542</v>
      </c>
      <c r="AA90" s="129">
        <f>+AA89+138000000</f>
        <v>0</v>
      </c>
    </row>
    <row r="91" spans="1:29" s="171" customFormat="1" ht="18.75" hidden="1">
      <c r="A91" s="437" t="s">
        <v>96</v>
      </c>
      <c r="B91" s="438" t="s">
        <v>29</v>
      </c>
      <c r="C91" s="123">
        <v>1029501</v>
      </c>
      <c r="D91" s="123">
        <v>412</v>
      </c>
      <c r="E91" s="123">
        <v>341</v>
      </c>
      <c r="F91" s="123">
        <v>12</v>
      </c>
      <c r="G91" s="123"/>
      <c r="H91" s="269">
        <v>200</v>
      </c>
      <c r="I91" s="487">
        <f>SUM(I92:I96)</f>
        <v>7769298676</v>
      </c>
      <c r="J91" s="487">
        <f t="shared" ref="J91:K91" si="89">SUM(J92:J96)</f>
        <v>7759298676</v>
      </c>
      <c r="K91" s="487">
        <f t="shared" si="89"/>
        <v>5935000000</v>
      </c>
      <c r="L91" s="518">
        <f t="shared" si="44"/>
        <v>99.87128825371471</v>
      </c>
      <c r="M91" s="518">
        <f t="shared" si="45"/>
        <v>130.73797263689974</v>
      </c>
      <c r="N91" s="128"/>
      <c r="R91" s="391"/>
      <c r="S91" s="391"/>
    </row>
    <row r="92" spans="1:29" s="649" customFormat="1" ht="19.5" hidden="1">
      <c r="A92" s="596"/>
      <c r="B92" s="642" t="s">
        <v>30</v>
      </c>
      <c r="C92" s="643"/>
      <c r="D92" s="643"/>
      <c r="E92" s="643"/>
      <c r="F92" s="643"/>
      <c r="G92" s="643"/>
      <c r="H92" s="644"/>
      <c r="I92" s="645">
        <f>4656000000</f>
        <v>4656000000</v>
      </c>
      <c r="J92" s="646">
        <f>I92</f>
        <v>4656000000</v>
      </c>
      <c r="K92" s="647">
        <v>4671000000</v>
      </c>
      <c r="L92" s="648">
        <f t="shared" si="44"/>
        <v>100</v>
      </c>
      <c r="M92" s="648">
        <f t="shared" si="45"/>
        <v>99.678869621066156</v>
      </c>
      <c r="R92" s="650"/>
      <c r="S92" s="650"/>
    </row>
    <row r="93" spans="1:29" s="649" customFormat="1" ht="37.5" hidden="1">
      <c r="A93" s="596"/>
      <c r="B93" s="651" t="s">
        <v>758</v>
      </c>
      <c r="C93" s="643"/>
      <c r="D93" s="643"/>
      <c r="E93" s="643"/>
      <c r="F93" s="643"/>
      <c r="G93" s="643"/>
      <c r="H93" s="644"/>
      <c r="I93" s="645">
        <v>969000000</v>
      </c>
      <c r="J93" s="646">
        <f t="shared" ref="J93:J98" si="90">I93</f>
        <v>969000000</v>
      </c>
      <c r="K93" s="647"/>
      <c r="L93" s="648"/>
      <c r="M93" s="648"/>
      <c r="R93" s="650"/>
      <c r="S93" s="650"/>
    </row>
    <row r="94" spans="1:29" s="654" customFormat="1" ht="56.25" hidden="1">
      <c r="A94" s="658"/>
      <c r="B94" s="659" t="s">
        <v>759</v>
      </c>
      <c r="C94" s="660"/>
      <c r="D94" s="660"/>
      <c r="E94" s="660"/>
      <c r="F94" s="660"/>
      <c r="G94" s="660"/>
      <c r="H94" s="661"/>
      <c r="I94" s="662">
        <v>17597676</v>
      </c>
      <c r="J94" s="646">
        <f t="shared" si="90"/>
        <v>17597676</v>
      </c>
      <c r="K94" s="663"/>
      <c r="L94" s="664"/>
      <c r="M94" s="664"/>
      <c r="R94" s="665"/>
      <c r="S94" s="665"/>
      <c r="AA94" s="723"/>
      <c r="AB94" s="723"/>
    </row>
    <row r="95" spans="1:29" s="649" customFormat="1" ht="31.5" hidden="1">
      <c r="A95" s="596"/>
      <c r="B95" s="652" t="s">
        <v>741</v>
      </c>
      <c r="C95" s="643"/>
      <c r="D95" s="643"/>
      <c r="E95" s="643"/>
      <c r="F95" s="643"/>
      <c r="G95" s="643"/>
      <c r="H95" s="644"/>
      <c r="I95" s="645">
        <v>862701000</v>
      </c>
      <c r="J95" s="646">
        <f t="shared" si="90"/>
        <v>862701000</v>
      </c>
      <c r="K95" s="647"/>
      <c r="L95" s="648"/>
      <c r="M95" s="648"/>
      <c r="R95" s="650"/>
      <c r="S95" s="650"/>
    </row>
    <row r="96" spans="1:29" s="649" customFormat="1" ht="19.5" hidden="1">
      <c r="A96" s="596"/>
      <c r="B96" s="642" t="s">
        <v>10</v>
      </c>
      <c r="C96" s="644"/>
      <c r="D96" s="644"/>
      <c r="E96" s="644"/>
      <c r="F96" s="644"/>
      <c r="G96" s="644"/>
      <c r="H96" s="644"/>
      <c r="I96" s="653">
        <v>1264000000</v>
      </c>
      <c r="J96" s="646">
        <f>I96-10000000</f>
        <v>1254000000</v>
      </c>
      <c r="K96" s="647">
        <v>1264000000</v>
      </c>
      <c r="L96" s="648">
        <f t="shared" si="44"/>
        <v>99.20886075949366</v>
      </c>
      <c r="M96" s="648">
        <f t="shared" si="45"/>
        <v>99.20886075949366</v>
      </c>
      <c r="N96" s="654"/>
      <c r="R96" s="650"/>
      <c r="S96" s="650"/>
    </row>
    <row r="97" spans="1:27" ht="18.75" hidden="1">
      <c r="A97" s="437" t="s">
        <v>98</v>
      </c>
      <c r="B97" s="438" t="s">
        <v>31</v>
      </c>
      <c r="C97" s="404"/>
      <c r="D97" s="404"/>
      <c r="E97" s="404"/>
      <c r="F97" s="404"/>
      <c r="G97" s="404"/>
      <c r="H97" s="517"/>
      <c r="I97" s="472">
        <v>108000000</v>
      </c>
      <c r="J97" s="646">
        <f t="shared" si="90"/>
        <v>108000000</v>
      </c>
      <c r="K97" s="561">
        <v>108000000</v>
      </c>
      <c r="L97" s="518">
        <f t="shared" si="44"/>
        <v>100</v>
      </c>
      <c r="M97" s="518">
        <f t="shared" si="45"/>
        <v>100</v>
      </c>
      <c r="N97" s="267"/>
    </row>
    <row r="98" spans="1:27" ht="37.5" hidden="1">
      <c r="A98" s="437" t="s">
        <v>97</v>
      </c>
      <c r="B98" s="438" t="s">
        <v>504</v>
      </c>
      <c r="C98" s="404"/>
      <c r="D98" s="404"/>
      <c r="E98" s="404"/>
      <c r="F98" s="404"/>
      <c r="G98" s="404"/>
      <c r="H98" s="517"/>
      <c r="I98" s="587">
        <f>514000000+65960000</f>
        <v>579960000</v>
      </c>
      <c r="J98" s="646">
        <f t="shared" si="90"/>
        <v>579960000</v>
      </c>
      <c r="K98" s="561">
        <v>475000000</v>
      </c>
      <c r="L98" s="518">
        <f t="shared" si="44"/>
        <v>100</v>
      </c>
      <c r="M98" s="518">
        <f t="shared" si="45"/>
        <v>122.09684210526315</v>
      </c>
      <c r="N98" s="268"/>
    </row>
    <row r="99" spans="1:27" ht="19.5" hidden="1" thickBot="1">
      <c r="A99" s="428" t="s">
        <v>15</v>
      </c>
      <c r="B99" s="440" t="s">
        <v>69</v>
      </c>
      <c r="C99" s="404"/>
      <c r="D99" s="404"/>
      <c r="E99" s="404"/>
      <c r="F99" s="404"/>
      <c r="G99" s="404"/>
      <c r="H99" s="517"/>
      <c r="I99" s="470">
        <f t="shared" ref="I99:K99" si="91">+I100</f>
        <v>0</v>
      </c>
      <c r="J99" s="470">
        <f t="shared" si="91"/>
        <v>0</v>
      </c>
      <c r="K99" s="556">
        <f t="shared" si="91"/>
        <v>599552324</v>
      </c>
      <c r="L99" s="519" t="e">
        <f t="shared" ref="L99:L171" si="92">+J99/I99*100</f>
        <v>#DIV/0!</v>
      </c>
      <c r="M99" s="519">
        <f t="shared" ref="M99:M171" si="93">+J99/K99*100</f>
        <v>0</v>
      </c>
      <c r="N99" s="268"/>
    </row>
    <row r="100" spans="1:27" ht="38.25" hidden="1" thickBot="1">
      <c r="A100" s="428"/>
      <c r="B100" s="438" t="s">
        <v>505</v>
      </c>
      <c r="C100" s="404"/>
      <c r="D100" s="404"/>
      <c r="E100" s="404"/>
      <c r="F100" s="404"/>
      <c r="G100" s="404"/>
      <c r="H100" s="517"/>
      <c r="I100" s="587"/>
      <c r="J100" s="585"/>
      <c r="K100" s="561">
        <v>599552324</v>
      </c>
      <c r="L100" s="519" t="e">
        <f t="shared" si="92"/>
        <v>#DIV/0!</v>
      </c>
      <c r="M100" s="519">
        <f t="shared" si="93"/>
        <v>0</v>
      </c>
      <c r="N100" s="267"/>
    </row>
    <row r="101" spans="1:27" s="145" customFormat="1" ht="19.5" hidden="1">
      <c r="A101" s="435" t="s">
        <v>9</v>
      </c>
      <c r="B101" s="436" t="s">
        <v>772</v>
      </c>
      <c r="C101" s="625"/>
      <c r="D101" s="625"/>
      <c r="E101" s="625"/>
      <c r="F101" s="625"/>
      <c r="G101" s="625"/>
      <c r="H101" s="624"/>
      <c r="I101" s="481">
        <f>+I102+I126+I129+I133</f>
        <v>4807370000</v>
      </c>
      <c r="J101" s="481">
        <f t="shared" ref="J101:K101" si="94">+J102+J126+J129+J133</f>
        <v>4464488195</v>
      </c>
      <c r="K101" s="481">
        <f t="shared" si="94"/>
        <v>1451657501</v>
      </c>
      <c r="L101" s="699"/>
      <c r="M101" s="699"/>
      <c r="N101" s="397"/>
      <c r="R101" s="386"/>
      <c r="S101" s="386"/>
    </row>
    <row r="102" spans="1:27" s="397" customFormat="1" ht="19.5" hidden="1">
      <c r="A102" s="435" t="s">
        <v>770</v>
      </c>
      <c r="B102" s="436" t="s">
        <v>771</v>
      </c>
      <c r="C102" s="123"/>
      <c r="D102" s="123"/>
      <c r="E102" s="123"/>
      <c r="F102" s="123"/>
      <c r="G102" s="123"/>
      <c r="H102" s="269"/>
      <c r="I102" s="485">
        <f>+I103+I104+I122+I125</f>
        <v>4332911000</v>
      </c>
      <c r="J102" s="485">
        <f t="shared" ref="J102:K102" si="95">+J103+J104+J122+J125</f>
        <v>3990539195</v>
      </c>
      <c r="K102" s="485">
        <f t="shared" si="95"/>
        <v>1131504070</v>
      </c>
      <c r="L102" s="518">
        <f t="shared" si="92"/>
        <v>92.098342084570859</v>
      </c>
      <c r="M102" s="518">
        <f t="shared" si="93"/>
        <v>352.67563774649085</v>
      </c>
      <c r="R102" s="398"/>
      <c r="S102" s="398"/>
      <c r="AA102" s="128"/>
    </row>
    <row r="103" spans="1:27" s="267" customFormat="1" ht="18.75" hidden="1">
      <c r="A103" s="437" t="s">
        <v>14</v>
      </c>
      <c r="B103" s="441" t="s">
        <v>33</v>
      </c>
      <c r="C103" s="404"/>
      <c r="D103" s="404"/>
      <c r="E103" s="404"/>
      <c r="F103" s="404"/>
      <c r="G103" s="404"/>
      <c r="H103" s="517"/>
      <c r="I103" s="591">
        <f>105000000+85300000</f>
        <v>190300000</v>
      </c>
      <c r="J103" s="574">
        <v>182827016</v>
      </c>
      <c r="K103" s="561">
        <v>105000000</v>
      </c>
      <c r="L103" s="518">
        <f t="shared" si="92"/>
        <v>96.073050972149247</v>
      </c>
      <c r="M103" s="518">
        <f t="shared" si="93"/>
        <v>174.12096761904763</v>
      </c>
      <c r="R103" s="390"/>
      <c r="S103" s="390"/>
      <c r="AA103" s="128"/>
    </row>
    <row r="104" spans="1:27" s="267" customFormat="1" ht="18.75" hidden="1">
      <c r="A104" s="437" t="s">
        <v>15</v>
      </c>
      <c r="B104" s="441" t="s">
        <v>419</v>
      </c>
      <c r="C104" s="404"/>
      <c r="D104" s="404"/>
      <c r="E104" s="404"/>
      <c r="F104" s="404"/>
      <c r="G104" s="404"/>
      <c r="H104" s="517"/>
      <c r="I104" s="488">
        <f t="shared" ref="I104:K104" si="96">SUM(I105:I121)</f>
        <v>2288930000</v>
      </c>
      <c r="J104" s="488">
        <f t="shared" si="96"/>
        <v>2116279179</v>
      </c>
      <c r="K104" s="488">
        <f t="shared" si="96"/>
        <v>1026504070</v>
      </c>
      <c r="L104" s="518">
        <f t="shared" si="92"/>
        <v>92.457138444600744</v>
      </c>
      <c r="M104" s="518">
        <f t="shared" si="93"/>
        <v>206.16373971123176</v>
      </c>
      <c r="R104" s="390"/>
      <c r="S104" s="390"/>
      <c r="AA104" s="128"/>
    </row>
    <row r="105" spans="1:27" s="397" customFormat="1" ht="37.5" hidden="1">
      <c r="A105" s="435"/>
      <c r="B105" s="442" t="s">
        <v>482</v>
      </c>
      <c r="C105" s="123"/>
      <c r="D105" s="123"/>
      <c r="E105" s="123"/>
      <c r="F105" s="123"/>
      <c r="G105" s="123"/>
      <c r="H105" s="269"/>
      <c r="I105" s="489">
        <v>20000000</v>
      </c>
      <c r="J105" s="472">
        <v>18912000</v>
      </c>
      <c r="K105" s="561">
        <v>11400000</v>
      </c>
      <c r="L105" s="519">
        <f t="shared" si="92"/>
        <v>94.56</v>
      </c>
      <c r="M105" s="519">
        <f t="shared" si="93"/>
        <v>165.89473684210526</v>
      </c>
      <c r="R105" s="398"/>
      <c r="S105" s="398"/>
      <c r="AA105" s="128"/>
    </row>
    <row r="106" spans="1:27" s="267" customFormat="1" ht="19.5" hidden="1">
      <c r="A106" s="435"/>
      <c r="B106" s="442" t="s">
        <v>483</v>
      </c>
      <c r="C106" s="404"/>
      <c r="D106" s="404"/>
      <c r="E106" s="404"/>
      <c r="F106" s="404"/>
      <c r="G106" s="404"/>
      <c r="H106" s="517"/>
      <c r="I106" s="489">
        <v>90000000</v>
      </c>
      <c r="J106" s="472">
        <v>89263297</v>
      </c>
      <c r="K106" s="561">
        <v>75000000</v>
      </c>
      <c r="L106" s="518">
        <f t="shared" si="92"/>
        <v>99.181441111111113</v>
      </c>
      <c r="M106" s="518">
        <f t="shared" si="93"/>
        <v>119.01772933333335</v>
      </c>
      <c r="R106" s="390"/>
      <c r="S106" s="390"/>
      <c r="AA106" s="128"/>
    </row>
    <row r="107" spans="1:27" s="267" customFormat="1" ht="19.5" hidden="1">
      <c r="A107" s="435"/>
      <c r="B107" s="442" t="s">
        <v>484</v>
      </c>
      <c r="C107" s="404"/>
      <c r="D107" s="404"/>
      <c r="E107" s="404"/>
      <c r="F107" s="404"/>
      <c r="G107" s="404"/>
      <c r="H107" s="517"/>
      <c r="I107" s="489">
        <v>22000000</v>
      </c>
      <c r="J107" s="472">
        <v>21120000</v>
      </c>
      <c r="K107" s="561">
        <v>21120000</v>
      </c>
      <c r="L107" s="518">
        <f t="shared" si="92"/>
        <v>96</v>
      </c>
      <c r="M107" s="518">
        <f t="shared" si="93"/>
        <v>100</v>
      </c>
      <c r="R107" s="390"/>
      <c r="S107" s="390"/>
      <c r="AA107" s="128"/>
    </row>
    <row r="108" spans="1:27" s="267" customFormat="1" ht="19.5" hidden="1">
      <c r="A108" s="435"/>
      <c r="B108" s="442" t="s">
        <v>485</v>
      </c>
      <c r="C108" s="404"/>
      <c r="D108" s="404"/>
      <c r="E108" s="404"/>
      <c r="F108" s="404"/>
      <c r="G108" s="404"/>
      <c r="H108" s="517"/>
      <c r="I108" s="590">
        <f>50000000-870000</f>
        <v>49130000</v>
      </c>
      <c r="J108" s="472">
        <v>49130000</v>
      </c>
      <c r="K108" s="561">
        <v>23551000</v>
      </c>
      <c r="L108" s="518">
        <f t="shared" si="92"/>
        <v>100</v>
      </c>
      <c r="M108" s="518">
        <f t="shared" si="93"/>
        <v>208.61109931637722</v>
      </c>
      <c r="R108" s="390"/>
      <c r="S108" s="390"/>
      <c r="AA108" s="128"/>
    </row>
    <row r="109" spans="1:27" ht="19.5" hidden="1">
      <c r="A109" s="435"/>
      <c r="B109" s="442" t="s">
        <v>350</v>
      </c>
      <c r="C109" s="123">
        <v>1029501</v>
      </c>
      <c r="D109" s="123">
        <v>412</v>
      </c>
      <c r="E109" s="123">
        <v>280</v>
      </c>
      <c r="F109" s="123">
        <v>12</v>
      </c>
      <c r="G109" s="123"/>
      <c r="H109" s="269">
        <v>200</v>
      </c>
      <c r="I109" s="489">
        <v>10000000</v>
      </c>
      <c r="J109" s="472">
        <v>10000000</v>
      </c>
      <c r="K109" s="561">
        <v>10000000</v>
      </c>
      <c r="L109" s="519">
        <f t="shared" si="92"/>
        <v>100</v>
      </c>
      <c r="M109" s="519">
        <f t="shared" si="93"/>
        <v>100</v>
      </c>
    </row>
    <row r="110" spans="1:27" s="141" customFormat="1" ht="19.5" hidden="1">
      <c r="A110" s="435"/>
      <c r="B110" s="442" t="s">
        <v>486</v>
      </c>
      <c r="C110" s="123"/>
      <c r="D110" s="123"/>
      <c r="E110" s="123">
        <v>283</v>
      </c>
      <c r="F110" s="123">
        <v>12</v>
      </c>
      <c r="G110" s="123"/>
      <c r="H110" s="269">
        <v>200</v>
      </c>
      <c r="I110" s="489">
        <v>36000000</v>
      </c>
      <c r="J110" s="472">
        <v>32193600</v>
      </c>
      <c r="K110" s="561">
        <v>36000000</v>
      </c>
      <c r="L110" s="518">
        <f t="shared" si="92"/>
        <v>89.426666666666662</v>
      </c>
      <c r="M110" s="518">
        <f t="shared" si="93"/>
        <v>89.426666666666662</v>
      </c>
      <c r="R110" s="385"/>
      <c r="S110" s="385"/>
      <c r="AA110" s="128"/>
    </row>
    <row r="111" spans="1:27" ht="19.5" hidden="1">
      <c r="A111" s="435"/>
      <c r="B111" s="442" t="s">
        <v>487</v>
      </c>
      <c r="C111" s="404"/>
      <c r="D111" s="404"/>
      <c r="E111" s="404"/>
      <c r="F111" s="404"/>
      <c r="G111" s="404"/>
      <c r="H111" s="517"/>
      <c r="I111" s="590">
        <f>558000000+66300000</f>
        <v>624300000</v>
      </c>
      <c r="J111" s="472">
        <v>619300000</v>
      </c>
      <c r="K111" s="561">
        <v>556799300</v>
      </c>
      <c r="L111" s="518">
        <f t="shared" si="92"/>
        <v>99.199102995354792</v>
      </c>
      <c r="M111" s="518">
        <f t="shared" si="93"/>
        <v>111.22499615211441</v>
      </c>
    </row>
    <row r="112" spans="1:27" ht="19.5" hidden="1">
      <c r="A112" s="435"/>
      <c r="B112" s="439" t="s">
        <v>488</v>
      </c>
      <c r="C112" s="404"/>
      <c r="D112" s="404"/>
      <c r="E112" s="404"/>
      <c r="F112" s="404"/>
      <c r="G112" s="404"/>
      <c r="H112" s="517"/>
      <c r="I112" s="590">
        <f>54000000+42000000</f>
        <v>96000000</v>
      </c>
      <c r="J112" s="472">
        <v>79492110</v>
      </c>
      <c r="K112" s="561">
        <v>28333770</v>
      </c>
      <c r="L112" s="518">
        <f t="shared" si="92"/>
        <v>82.804281250000003</v>
      </c>
      <c r="M112" s="518">
        <f t="shared" si="93"/>
        <v>280.55606437124322</v>
      </c>
    </row>
    <row r="113" spans="1:14" ht="37.5" hidden="1">
      <c r="A113" s="435"/>
      <c r="B113" s="439" t="s">
        <v>489</v>
      </c>
      <c r="C113" s="123">
        <v>1029501</v>
      </c>
      <c r="D113" s="123">
        <v>412</v>
      </c>
      <c r="E113" s="123">
        <v>250</v>
      </c>
      <c r="F113" s="123">
        <v>12</v>
      </c>
      <c r="G113" s="123"/>
      <c r="H113" s="269">
        <v>200</v>
      </c>
      <c r="I113" s="489">
        <v>54000000</v>
      </c>
      <c r="J113" s="472">
        <v>0</v>
      </c>
      <c r="K113" s="561">
        <v>14000000</v>
      </c>
      <c r="L113" s="519">
        <f t="shared" si="92"/>
        <v>0</v>
      </c>
      <c r="M113" s="519">
        <f t="shared" si="93"/>
        <v>0</v>
      </c>
    </row>
    <row r="114" spans="1:14" ht="19.5" hidden="1">
      <c r="A114" s="435"/>
      <c r="B114" s="439" t="s">
        <v>491</v>
      </c>
      <c r="C114" s="123"/>
      <c r="D114" s="123"/>
      <c r="E114" s="123"/>
      <c r="F114" s="123"/>
      <c r="G114" s="123"/>
      <c r="H114" s="269"/>
      <c r="I114" s="590">
        <f>45000000-2000000*0</f>
        <v>45000000</v>
      </c>
      <c r="J114" s="472">
        <v>42548192</v>
      </c>
      <c r="K114" s="561">
        <v>63000000</v>
      </c>
      <c r="L114" s="518">
        <f t="shared" si="92"/>
        <v>94.551537777777781</v>
      </c>
      <c r="M114" s="518">
        <f t="shared" si="93"/>
        <v>67.536812698412689</v>
      </c>
    </row>
    <row r="115" spans="1:14" ht="19.5" hidden="1">
      <c r="A115" s="435"/>
      <c r="B115" s="439" t="s">
        <v>490</v>
      </c>
      <c r="C115" s="520"/>
      <c r="D115" s="520"/>
      <c r="E115" s="520">
        <v>278</v>
      </c>
      <c r="F115" s="520">
        <v>12</v>
      </c>
      <c r="G115" s="520"/>
      <c r="H115" s="521">
        <v>200</v>
      </c>
      <c r="I115" s="590">
        <f>10000000-500000*0-9500000</f>
        <v>500000</v>
      </c>
      <c r="J115" s="472">
        <v>0</v>
      </c>
      <c r="K115" s="561"/>
      <c r="L115" s="519">
        <f t="shared" si="92"/>
        <v>0</v>
      </c>
      <c r="M115" s="519" t="e">
        <f t="shared" si="93"/>
        <v>#DIV/0!</v>
      </c>
    </row>
    <row r="116" spans="1:14" ht="37.5" hidden="1">
      <c r="A116" s="435"/>
      <c r="B116" s="439" t="s">
        <v>492</v>
      </c>
      <c r="C116" s="530">
        <v>1029499</v>
      </c>
      <c r="D116" s="530">
        <v>412</v>
      </c>
      <c r="E116" s="530"/>
      <c r="F116" s="530"/>
      <c r="G116" s="530"/>
      <c r="H116" s="531"/>
      <c r="I116" s="590">
        <f>25000000-1000000*0-9000000</f>
        <v>16000000</v>
      </c>
      <c r="J116" s="472">
        <v>15000000</v>
      </c>
      <c r="K116" s="561">
        <v>17000000</v>
      </c>
      <c r="L116" s="518">
        <f t="shared" si="92"/>
        <v>93.75</v>
      </c>
      <c r="M116" s="518">
        <f t="shared" si="93"/>
        <v>88.235294117647058</v>
      </c>
      <c r="N116" s="129">
        <f>+I116+I387</f>
        <v>116000000</v>
      </c>
    </row>
    <row r="117" spans="1:14" ht="56.25" hidden="1">
      <c r="A117" s="435"/>
      <c r="B117" s="439" t="s">
        <v>493</v>
      </c>
      <c r="C117" s="123">
        <v>1029499</v>
      </c>
      <c r="D117" s="123">
        <v>412</v>
      </c>
      <c r="E117" s="123">
        <v>340</v>
      </c>
      <c r="F117" s="123">
        <v>13</v>
      </c>
      <c r="G117" s="123"/>
      <c r="H117" s="269"/>
      <c r="I117" s="590">
        <f>25000000-1200000*0-15000000</f>
        <v>10000000</v>
      </c>
      <c r="J117" s="472">
        <v>8800000</v>
      </c>
      <c r="K117" s="561">
        <v>15000000</v>
      </c>
      <c r="L117" s="519">
        <f t="shared" si="92"/>
        <v>88</v>
      </c>
      <c r="M117" s="519">
        <f t="shared" si="93"/>
        <v>58.666666666666664</v>
      </c>
    </row>
    <row r="118" spans="1:14" ht="19.5" hidden="1">
      <c r="A118" s="435"/>
      <c r="B118" s="439" t="s">
        <v>494</v>
      </c>
      <c r="C118" s="123"/>
      <c r="D118" s="123"/>
      <c r="E118" s="123"/>
      <c r="F118" s="123"/>
      <c r="G118" s="123"/>
      <c r="H118" s="269"/>
      <c r="I118" s="489">
        <v>131000000</v>
      </c>
      <c r="J118" s="472">
        <v>127738500</v>
      </c>
      <c r="K118" s="561">
        <v>145000000</v>
      </c>
      <c r="L118" s="518">
        <f t="shared" si="92"/>
        <v>97.510305343511448</v>
      </c>
      <c r="M118" s="518">
        <f t="shared" si="93"/>
        <v>88.095517241379312</v>
      </c>
    </row>
    <row r="119" spans="1:14" ht="37.5" hidden="1">
      <c r="A119" s="435"/>
      <c r="B119" s="439" t="s">
        <v>495</v>
      </c>
      <c r="C119" s="123">
        <v>1029499</v>
      </c>
      <c r="D119" s="123">
        <v>412</v>
      </c>
      <c r="E119" s="123">
        <v>341</v>
      </c>
      <c r="F119" s="123">
        <v>13</v>
      </c>
      <c r="G119" s="123"/>
      <c r="H119" s="269">
        <v>200</v>
      </c>
      <c r="I119" s="489">
        <v>20000000</v>
      </c>
      <c r="J119" s="472">
        <v>5380000</v>
      </c>
      <c r="K119" s="561"/>
      <c r="L119" s="519">
        <f t="shared" si="92"/>
        <v>26.900000000000002</v>
      </c>
      <c r="M119" s="519" t="e">
        <f t="shared" si="93"/>
        <v>#DIV/0!</v>
      </c>
    </row>
    <row r="120" spans="1:14" ht="19.5" hidden="1">
      <c r="A120" s="435"/>
      <c r="B120" s="439" t="s">
        <v>506</v>
      </c>
      <c r="C120" s="520"/>
      <c r="D120" s="520"/>
      <c r="E120" s="520"/>
      <c r="F120" s="520"/>
      <c r="G120" s="520"/>
      <c r="H120" s="521"/>
      <c r="I120" s="489">
        <v>1065000000</v>
      </c>
      <c r="J120" s="472">
        <v>997401480</v>
      </c>
      <c r="K120" s="561"/>
      <c r="L120" s="519">
        <f t="shared" si="92"/>
        <v>93.652721126760568</v>
      </c>
      <c r="M120" s="519" t="e">
        <f t="shared" si="93"/>
        <v>#DIV/0!</v>
      </c>
    </row>
    <row r="121" spans="1:14" ht="19.5" hidden="1">
      <c r="A121" s="435"/>
      <c r="B121" s="439" t="s">
        <v>563</v>
      </c>
      <c r="C121" s="404"/>
      <c r="D121" s="404"/>
      <c r="E121" s="404"/>
      <c r="F121" s="404"/>
      <c r="G121" s="404"/>
      <c r="H121" s="517"/>
      <c r="I121" s="472">
        <v>0</v>
      </c>
      <c r="J121" s="472"/>
      <c r="K121" s="561">
        <v>10300000</v>
      </c>
      <c r="L121" s="519" t="e">
        <f t="shared" si="92"/>
        <v>#DIV/0!</v>
      </c>
      <c r="M121" s="519">
        <f t="shared" si="93"/>
        <v>0</v>
      </c>
    </row>
    <row r="122" spans="1:14" ht="37.5" hidden="1">
      <c r="A122" s="435" t="s">
        <v>313</v>
      </c>
      <c r="B122" s="439" t="s">
        <v>508</v>
      </c>
      <c r="C122" s="404"/>
      <c r="D122" s="404"/>
      <c r="E122" s="404"/>
      <c r="F122" s="404"/>
      <c r="G122" s="404"/>
      <c r="H122" s="517"/>
      <c r="I122" s="472">
        <f t="shared" ref="I122:K123" si="97">+I123</f>
        <v>0</v>
      </c>
      <c r="J122" s="472">
        <f t="shared" si="97"/>
        <v>0</v>
      </c>
      <c r="K122" s="561">
        <f t="shared" si="97"/>
        <v>0</v>
      </c>
      <c r="L122" s="519" t="e">
        <f t="shared" si="92"/>
        <v>#DIV/0!</v>
      </c>
      <c r="M122" s="519" t="e">
        <f t="shared" si="93"/>
        <v>#DIV/0!</v>
      </c>
    </row>
    <row r="123" spans="1:14" ht="37.5" hidden="1">
      <c r="A123" s="435"/>
      <c r="B123" s="439" t="s">
        <v>509</v>
      </c>
      <c r="C123" s="404"/>
      <c r="D123" s="404"/>
      <c r="E123" s="404"/>
      <c r="F123" s="404"/>
      <c r="G123" s="404"/>
      <c r="H123" s="517"/>
      <c r="I123" s="472">
        <f t="shared" si="97"/>
        <v>0</v>
      </c>
      <c r="J123" s="472">
        <f t="shared" si="97"/>
        <v>0</v>
      </c>
      <c r="K123" s="561">
        <f t="shared" si="97"/>
        <v>0</v>
      </c>
      <c r="L123" s="519" t="e">
        <f t="shared" si="92"/>
        <v>#DIV/0!</v>
      </c>
      <c r="M123" s="519" t="e">
        <f t="shared" si="93"/>
        <v>#DIV/0!</v>
      </c>
    </row>
    <row r="124" spans="1:14" ht="19.5" hidden="1">
      <c r="A124" s="435"/>
      <c r="B124" s="439" t="s">
        <v>387</v>
      </c>
      <c r="C124" s="520"/>
      <c r="D124" s="520"/>
      <c r="E124" s="520"/>
      <c r="F124" s="520"/>
      <c r="G124" s="520"/>
      <c r="H124" s="521"/>
      <c r="I124" s="487"/>
      <c r="J124" s="472"/>
      <c r="K124" s="561"/>
      <c r="L124" s="519" t="e">
        <f t="shared" si="92"/>
        <v>#DIV/0!</v>
      </c>
      <c r="M124" s="519" t="e">
        <f t="shared" si="93"/>
        <v>#DIV/0!</v>
      </c>
    </row>
    <row r="125" spans="1:14" ht="37.5" hidden="1">
      <c r="A125" s="443" t="s">
        <v>314</v>
      </c>
      <c r="B125" s="438" t="s">
        <v>556</v>
      </c>
      <c r="C125" s="123">
        <v>1029499</v>
      </c>
      <c r="D125" s="123">
        <v>412</v>
      </c>
      <c r="E125" s="123">
        <v>341</v>
      </c>
      <c r="F125" s="123">
        <v>14</v>
      </c>
      <c r="G125" s="123"/>
      <c r="H125" s="269">
        <v>200</v>
      </c>
      <c r="I125" s="470">
        <v>1853681000</v>
      </c>
      <c r="J125" s="472">
        <v>1691433000</v>
      </c>
      <c r="K125" s="561"/>
      <c r="L125" s="519">
        <f t="shared" si="92"/>
        <v>91.24725343788927</v>
      </c>
      <c r="M125" s="519" t="e">
        <f t="shared" si="93"/>
        <v>#DIV/0!</v>
      </c>
    </row>
    <row r="126" spans="1:14" ht="19.5" hidden="1">
      <c r="A126" s="435" t="s">
        <v>775</v>
      </c>
      <c r="B126" s="440" t="s">
        <v>70</v>
      </c>
      <c r="C126" s="520"/>
      <c r="D126" s="520"/>
      <c r="E126" s="520"/>
      <c r="F126" s="520" t="s">
        <v>339</v>
      </c>
      <c r="G126" s="520"/>
      <c r="H126" s="521">
        <v>200</v>
      </c>
      <c r="I126" s="470">
        <f t="shared" ref="I126:K126" si="98">+I127+I128</f>
        <v>0</v>
      </c>
      <c r="J126" s="470">
        <f t="shared" si="98"/>
        <v>0</v>
      </c>
      <c r="K126" s="470">
        <f t="shared" si="98"/>
        <v>221435000</v>
      </c>
      <c r="L126" s="519" t="e">
        <f t="shared" si="92"/>
        <v>#DIV/0!</v>
      </c>
      <c r="M126" s="519">
        <f t="shared" si="93"/>
        <v>0</v>
      </c>
    </row>
    <row r="127" spans="1:14" ht="37.5" hidden="1">
      <c r="A127" s="443"/>
      <c r="B127" s="438" t="s">
        <v>562</v>
      </c>
      <c r="C127" s="123">
        <v>1029499</v>
      </c>
      <c r="D127" s="123">
        <v>412</v>
      </c>
      <c r="E127" s="123">
        <v>341</v>
      </c>
      <c r="F127" s="123">
        <v>12</v>
      </c>
      <c r="G127" s="123"/>
      <c r="H127" s="269">
        <v>200</v>
      </c>
      <c r="I127" s="488">
        <v>0</v>
      </c>
      <c r="J127" s="472"/>
      <c r="K127" s="561">
        <v>81000000</v>
      </c>
      <c r="L127" s="519" t="e">
        <f t="shared" si="92"/>
        <v>#DIV/0!</v>
      </c>
      <c r="M127" s="519">
        <f t="shared" si="93"/>
        <v>0</v>
      </c>
    </row>
    <row r="128" spans="1:14" ht="56.25" hidden="1">
      <c r="A128" s="443"/>
      <c r="B128" s="438" t="s">
        <v>684</v>
      </c>
      <c r="C128" s="517"/>
      <c r="D128" s="517"/>
      <c r="E128" s="517"/>
      <c r="F128" s="517"/>
      <c r="G128" s="517"/>
      <c r="H128" s="517"/>
      <c r="I128" s="490">
        <v>0</v>
      </c>
      <c r="J128" s="472"/>
      <c r="K128" s="561">
        <v>140435000</v>
      </c>
      <c r="L128" s="519" t="e">
        <f t="shared" si="92"/>
        <v>#DIV/0!</v>
      </c>
      <c r="M128" s="519">
        <f t="shared" si="93"/>
        <v>0</v>
      </c>
    </row>
    <row r="129" spans="1:27" ht="19.5" hidden="1">
      <c r="A129" s="435" t="s">
        <v>776</v>
      </c>
      <c r="B129" s="440" t="s">
        <v>685</v>
      </c>
      <c r="C129" s="517"/>
      <c r="D129" s="517"/>
      <c r="E129" s="517"/>
      <c r="F129" s="517"/>
      <c r="G129" s="517"/>
      <c r="H129" s="517"/>
      <c r="I129" s="470">
        <f>+I130+I131+I132</f>
        <v>237724000</v>
      </c>
      <c r="J129" s="470">
        <f t="shared" ref="J129:K129" si="99">+J130+J131+J132</f>
        <v>237214000</v>
      </c>
      <c r="K129" s="470">
        <f t="shared" si="99"/>
        <v>98718431</v>
      </c>
      <c r="L129" s="519">
        <f t="shared" si="92"/>
        <v>99.785465497804168</v>
      </c>
      <c r="M129" s="519">
        <f t="shared" si="93"/>
        <v>240.29352735559581</v>
      </c>
    </row>
    <row r="130" spans="1:27" s="141" customFormat="1" ht="37.5" hidden="1">
      <c r="A130" s="443"/>
      <c r="B130" s="438" t="s">
        <v>686</v>
      </c>
      <c r="C130" s="517"/>
      <c r="D130" s="517"/>
      <c r="E130" s="517"/>
      <c r="F130" s="517"/>
      <c r="G130" s="517"/>
      <c r="H130" s="517"/>
      <c r="I130" s="470">
        <v>0</v>
      </c>
      <c r="J130" s="472"/>
      <c r="K130" s="561">
        <v>98718431</v>
      </c>
      <c r="L130" s="519" t="e">
        <f t="shared" si="92"/>
        <v>#DIV/0!</v>
      </c>
      <c r="M130" s="519">
        <f t="shared" si="93"/>
        <v>0</v>
      </c>
      <c r="R130" s="385"/>
      <c r="S130" s="385"/>
      <c r="AA130" s="128"/>
    </row>
    <row r="131" spans="1:27" s="141" customFormat="1" ht="18.75" hidden="1">
      <c r="A131" s="443"/>
      <c r="B131" s="626" t="s">
        <v>749</v>
      </c>
      <c r="C131" s="517"/>
      <c r="D131" s="517"/>
      <c r="E131" s="517"/>
      <c r="F131" s="517"/>
      <c r="G131" s="517"/>
      <c r="H131" s="517"/>
      <c r="I131" s="657">
        <v>66100000</v>
      </c>
      <c r="J131" s="472">
        <f>21193000+12300000+32097000</f>
        <v>65590000</v>
      </c>
      <c r="K131" s="561"/>
      <c r="L131" s="519"/>
      <c r="M131" s="519"/>
      <c r="R131" s="385"/>
      <c r="S131" s="385"/>
      <c r="AA131" s="128"/>
    </row>
    <row r="132" spans="1:27" s="141" customFormat="1" ht="33" hidden="1">
      <c r="A132" s="443"/>
      <c r="B132" s="627" t="s">
        <v>750</v>
      </c>
      <c r="C132" s="517"/>
      <c r="D132" s="517"/>
      <c r="E132" s="517"/>
      <c r="F132" s="517"/>
      <c r="G132" s="517"/>
      <c r="H132" s="517"/>
      <c r="I132" s="657">
        <v>171624000</v>
      </c>
      <c r="J132" s="472">
        <f>I132</f>
        <v>171624000</v>
      </c>
      <c r="K132" s="561"/>
      <c r="L132" s="519"/>
      <c r="M132" s="519"/>
      <c r="R132" s="385"/>
      <c r="S132" s="385"/>
      <c r="AA132" s="128"/>
    </row>
    <row r="133" spans="1:27" s="697" customFormat="1" ht="19.5" hidden="1">
      <c r="A133" s="596" t="s">
        <v>777</v>
      </c>
      <c r="B133" s="698" t="s">
        <v>773</v>
      </c>
      <c r="C133" s="631"/>
      <c r="D133" s="631"/>
      <c r="E133" s="631"/>
      <c r="F133" s="631"/>
      <c r="G133" s="631"/>
      <c r="H133" s="631"/>
      <c r="I133" s="633">
        <f>+I134</f>
        <v>236735000</v>
      </c>
      <c r="J133" s="633">
        <f t="shared" ref="J133:K133" si="100">+J134</f>
        <v>236735000</v>
      </c>
      <c r="K133" s="633">
        <f t="shared" si="100"/>
        <v>0</v>
      </c>
      <c r="L133" s="634"/>
      <c r="M133" s="634"/>
      <c r="R133" s="696"/>
      <c r="S133" s="696"/>
      <c r="AA133" s="603"/>
    </row>
    <row r="134" spans="1:27" s="141" customFormat="1" ht="33" hidden="1">
      <c r="A134" s="443"/>
      <c r="B134" s="705" t="s">
        <v>774</v>
      </c>
      <c r="C134" s="517"/>
      <c r="D134" s="517"/>
      <c r="E134" s="517"/>
      <c r="F134" s="517"/>
      <c r="G134" s="517"/>
      <c r="H134" s="517"/>
      <c r="I134" s="470">
        <v>236735000</v>
      </c>
      <c r="J134" s="472">
        <f>I134</f>
        <v>236735000</v>
      </c>
      <c r="K134" s="561"/>
      <c r="L134" s="519"/>
      <c r="M134" s="519"/>
      <c r="R134" s="385"/>
      <c r="S134" s="385"/>
      <c r="AA134" s="128"/>
    </row>
    <row r="135" spans="1:27" s="141" customFormat="1" ht="36" hidden="1" customHeight="1">
      <c r="A135" s="428">
        <v>2</v>
      </c>
      <c r="B135" s="444" t="s">
        <v>537</v>
      </c>
      <c r="C135" s="517"/>
      <c r="D135" s="517"/>
      <c r="E135" s="517"/>
      <c r="F135" s="517"/>
      <c r="G135" s="517"/>
      <c r="H135" s="517"/>
      <c r="I135" s="470">
        <f t="shared" ref="I135:K135" si="101">+SUM(I136:I137)</f>
        <v>34300000</v>
      </c>
      <c r="J135" s="470">
        <f t="shared" si="101"/>
        <v>34300000</v>
      </c>
      <c r="K135" s="470">
        <f t="shared" si="101"/>
        <v>32900000</v>
      </c>
      <c r="L135" s="518">
        <f t="shared" si="92"/>
        <v>100</v>
      </c>
      <c r="M135" s="518">
        <f t="shared" si="93"/>
        <v>104.25531914893618</v>
      </c>
      <c r="R135" s="385"/>
      <c r="S135" s="385"/>
      <c r="AA135" s="128"/>
    </row>
    <row r="136" spans="1:27" s="141" customFormat="1" ht="36" hidden="1" customHeight="1">
      <c r="A136" s="435"/>
      <c r="B136" s="441" t="s">
        <v>538</v>
      </c>
      <c r="C136" s="517"/>
      <c r="D136" s="517"/>
      <c r="E136" s="517"/>
      <c r="F136" s="517"/>
      <c r="G136" s="517"/>
      <c r="H136" s="517"/>
      <c r="I136" s="488">
        <v>30800000</v>
      </c>
      <c r="J136" s="472">
        <v>30800000</v>
      </c>
      <c r="K136" s="561">
        <v>29400000</v>
      </c>
      <c r="L136" s="518">
        <f t="shared" si="92"/>
        <v>100</v>
      </c>
      <c r="M136" s="518">
        <f t="shared" si="93"/>
        <v>104.76190476190477</v>
      </c>
      <c r="R136" s="385"/>
      <c r="S136" s="385"/>
      <c r="AA136" s="128"/>
    </row>
    <row r="137" spans="1:27" s="141" customFormat="1" ht="36" hidden="1" customHeight="1">
      <c r="A137" s="435"/>
      <c r="B137" s="441" t="s">
        <v>539</v>
      </c>
      <c r="C137" s="517"/>
      <c r="D137" s="517"/>
      <c r="E137" s="517"/>
      <c r="F137" s="517"/>
      <c r="G137" s="517"/>
      <c r="H137" s="517"/>
      <c r="I137" s="488">
        <v>3500000</v>
      </c>
      <c r="J137" s="472">
        <v>3500000</v>
      </c>
      <c r="K137" s="561">
        <v>3500000</v>
      </c>
      <c r="L137" s="518">
        <f t="shared" si="92"/>
        <v>100</v>
      </c>
      <c r="M137" s="518">
        <f t="shared" si="93"/>
        <v>100</v>
      </c>
      <c r="R137" s="385"/>
      <c r="S137" s="385"/>
      <c r="AA137" s="128"/>
    </row>
    <row r="138" spans="1:27" s="141" customFormat="1" ht="37.5" hidden="1">
      <c r="A138" s="428">
        <v>3</v>
      </c>
      <c r="B138" s="429" t="s">
        <v>687</v>
      </c>
      <c r="C138" s="517"/>
      <c r="D138" s="517"/>
      <c r="E138" s="517"/>
      <c r="F138" s="517"/>
      <c r="G138" s="517"/>
      <c r="H138" s="517"/>
      <c r="I138" s="470">
        <f t="shared" ref="I138" si="102">I139+I141</f>
        <v>1594925000</v>
      </c>
      <c r="J138" s="470">
        <f t="shared" ref="J138:K138" si="103">J139+J141</f>
        <v>1399574167</v>
      </c>
      <c r="K138" s="470">
        <f t="shared" si="103"/>
        <v>1451332750</v>
      </c>
      <c r="L138" s="518">
        <f t="shared" si="92"/>
        <v>87.75172293368027</v>
      </c>
      <c r="M138" s="518">
        <f t="shared" si="93"/>
        <v>96.433720454527048</v>
      </c>
      <c r="R138" s="385"/>
      <c r="S138" s="385"/>
      <c r="AA138" s="128"/>
    </row>
    <row r="139" spans="1:27" s="141" customFormat="1" ht="19.5" hidden="1">
      <c r="A139" s="428" t="s">
        <v>623</v>
      </c>
      <c r="B139" s="423" t="s">
        <v>99</v>
      </c>
      <c r="C139" s="517"/>
      <c r="D139" s="517"/>
      <c r="E139" s="517"/>
      <c r="F139" s="517"/>
      <c r="G139" s="517"/>
      <c r="H139" s="517"/>
      <c r="I139" s="471">
        <f t="shared" ref="I139:K139" si="104">I140</f>
        <v>1194925000</v>
      </c>
      <c r="J139" s="471">
        <f t="shared" si="104"/>
        <v>1131510000</v>
      </c>
      <c r="K139" s="471">
        <f t="shared" si="104"/>
        <v>1119428000</v>
      </c>
      <c r="L139" s="518">
        <f t="shared" si="92"/>
        <v>94.692972362282148</v>
      </c>
      <c r="M139" s="518">
        <f t="shared" si="93"/>
        <v>101.07930121454886</v>
      </c>
      <c r="R139" s="385"/>
      <c r="S139" s="385"/>
      <c r="AA139" s="128"/>
    </row>
    <row r="140" spans="1:27" s="141" customFormat="1" ht="18.75" hidden="1">
      <c r="A140" s="428"/>
      <c r="B140" s="441" t="s">
        <v>530</v>
      </c>
      <c r="C140" s="517"/>
      <c r="D140" s="517"/>
      <c r="E140" s="517"/>
      <c r="F140" s="517"/>
      <c r="G140" s="517"/>
      <c r="H140" s="517"/>
      <c r="I140" s="595">
        <f>2400000000-1205075000</f>
        <v>1194925000</v>
      </c>
      <c r="J140" s="472">
        <v>1131510000</v>
      </c>
      <c r="K140" s="561">
        <v>1119428000</v>
      </c>
      <c r="L140" s="518">
        <f t="shared" si="92"/>
        <v>94.692972362282148</v>
      </c>
      <c r="M140" s="518">
        <f t="shared" si="93"/>
        <v>101.07930121454886</v>
      </c>
      <c r="R140" s="385"/>
      <c r="S140" s="385"/>
      <c r="AA140" s="128"/>
    </row>
    <row r="141" spans="1:27" s="379" customFormat="1" ht="19.5" hidden="1">
      <c r="A141" s="428" t="s">
        <v>624</v>
      </c>
      <c r="B141" s="445" t="s">
        <v>93</v>
      </c>
      <c r="C141" s="269"/>
      <c r="D141" s="269"/>
      <c r="E141" s="269"/>
      <c r="F141" s="269"/>
      <c r="G141" s="269"/>
      <c r="H141" s="269"/>
      <c r="I141" s="490">
        <f t="shared" ref="I141:K141" si="105">I142</f>
        <v>400000000</v>
      </c>
      <c r="J141" s="490">
        <f t="shared" si="105"/>
        <v>268064167</v>
      </c>
      <c r="K141" s="490">
        <f t="shared" si="105"/>
        <v>331904750</v>
      </c>
      <c r="L141" s="518">
        <f t="shared" si="92"/>
        <v>67.016041749999999</v>
      </c>
      <c r="M141" s="518">
        <f t="shared" si="93"/>
        <v>80.765390371785884</v>
      </c>
      <c r="R141" s="393"/>
      <c r="S141" s="393"/>
      <c r="AA141" s="128"/>
    </row>
    <row r="142" spans="1:27" s="268" customFormat="1" ht="18.75" hidden="1">
      <c r="A142" s="428"/>
      <c r="B142" s="441" t="s">
        <v>531</v>
      </c>
      <c r="C142" s="517"/>
      <c r="D142" s="517"/>
      <c r="E142" s="517"/>
      <c r="F142" s="517"/>
      <c r="G142" s="517"/>
      <c r="H142" s="517"/>
      <c r="I142" s="622">
        <v>400000000</v>
      </c>
      <c r="J142" s="472">
        <v>268064167</v>
      </c>
      <c r="K142" s="561">
        <v>331904750</v>
      </c>
      <c r="L142" s="518">
        <f t="shared" si="92"/>
        <v>67.016041749999999</v>
      </c>
      <c r="M142" s="518">
        <f t="shared" si="93"/>
        <v>80.765390371785884</v>
      </c>
      <c r="R142" s="389"/>
      <c r="S142" s="389"/>
      <c r="AA142" s="128"/>
    </row>
    <row r="143" spans="1:27" s="268" customFormat="1" ht="37.5" hidden="1">
      <c r="A143" s="428">
        <v>4</v>
      </c>
      <c r="B143" s="444" t="s">
        <v>510</v>
      </c>
      <c r="C143" s="517"/>
      <c r="D143" s="517"/>
      <c r="E143" s="517"/>
      <c r="F143" s="517"/>
      <c r="G143" s="517"/>
      <c r="H143" s="517"/>
      <c r="I143" s="470">
        <f t="shared" ref="I143:K143" si="106">+I144</f>
        <v>282490000</v>
      </c>
      <c r="J143" s="470">
        <f t="shared" si="106"/>
        <v>0</v>
      </c>
      <c r="K143" s="556">
        <f t="shared" si="106"/>
        <v>0</v>
      </c>
      <c r="L143" s="519">
        <f t="shared" si="92"/>
        <v>0</v>
      </c>
      <c r="M143" s="519" t="e">
        <f t="shared" si="93"/>
        <v>#DIV/0!</v>
      </c>
      <c r="R143" s="389"/>
      <c r="S143" s="389"/>
      <c r="AA143" s="128"/>
    </row>
    <row r="144" spans="1:27" s="268" customFormat="1" ht="18.75" hidden="1">
      <c r="A144" s="428"/>
      <c r="B144" s="444" t="s">
        <v>507</v>
      </c>
      <c r="C144" s="517"/>
      <c r="D144" s="517"/>
      <c r="E144" s="517"/>
      <c r="F144" s="517"/>
      <c r="G144" s="517"/>
      <c r="H144" s="517"/>
      <c r="I144" s="491">
        <f t="shared" ref="I144:K144" si="107">+SUM(I145:I147)</f>
        <v>282490000</v>
      </c>
      <c r="J144" s="491">
        <f t="shared" si="107"/>
        <v>0</v>
      </c>
      <c r="K144" s="565">
        <f t="shared" si="107"/>
        <v>0</v>
      </c>
      <c r="L144" s="519">
        <f t="shared" si="92"/>
        <v>0</v>
      </c>
      <c r="M144" s="519" t="e">
        <f t="shared" si="93"/>
        <v>#DIV/0!</v>
      </c>
      <c r="R144" s="389"/>
      <c r="S144" s="389"/>
      <c r="AA144" s="128"/>
    </row>
    <row r="145" spans="1:29" ht="37.5" hidden="1">
      <c r="A145" s="437" t="s">
        <v>14</v>
      </c>
      <c r="B145" s="441" t="s">
        <v>382</v>
      </c>
      <c r="C145" s="123">
        <v>1029499</v>
      </c>
      <c r="D145" s="123">
        <v>412</v>
      </c>
      <c r="E145" s="123">
        <v>280</v>
      </c>
      <c r="F145" s="123">
        <v>13</v>
      </c>
      <c r="G145" s="123"/>
      <c r="H145" s="269"/>
      <c r="I145" s="587">
        <f>749000000-37350000*0-480160000</f>
        <v>268840000</v>
      </c>
      <c r="J145" s="472"/>
      <c r="K145" s="561"/>
      <c r="L145" s="519">
        <f t="shared" si="92"/>
        <v>0</v>
      </c>
      <c r="M145" s="519" t="e">
        <f t="shared" si="93"/>
        <v>#DIV/0!</v>
      </c>
    </row>
    <row r="146" spans="1:29" s="141" customFormat="1" ht="37.5" hidden="1">
      <c r="A146" s="437" t="s">
        <v>15</v>
      </c>
      <c r="B146" s="441" t="s">
        <v>383</v>
      </c>
      <c r="C146" s="123"/>
      <c r="D146" s="123"/>
      <c r="E146" s="123"/>
      <c r="F146" s="123"/>
      <c r="G146" s="123"/>
      <c r="H146" s="269"/>
      <c r="I146" s="591">
        <f>273000000-13650000*0-259350000</f>
        <v>13650000</v>
      </c>
      <c r="J146" s="472"/>
      <c r="K146" s="561"/>
      <c r="L146" s="519">
        <f t="shared" si="92"/>
        <v>0</v>
      </c>
      <c r="M146" s="519" t="e">
        <f t="shared" si="93"/>
        <v>#DIV/0!</v>
      </c>
      <c r="R146" s="385"/>
      <c r="S146" s="385"/>
      <c r="AA146" s="128"/>
    </row>
    <row r="147" spans="1:29" ht="37.5" hidden="1">
      <c r="A147" s="437" t="s">
        <v>24</v>
      </c>
      <c r="B147" s="441" t="s">
        <v>508</v>
      </c>
      <c r="C147" s="123">
        <v>1029499</v>
      </c>
      <c r="D147" s="123">
        <v>412</v>
      </c>
      <c r="E147" s="123">
        <v>282</v>
      </c>
      <c r="F147" s="123">
        <v>13</v>
      </c>
      <c r="G147" s="123"/>
      <c r="H147" s="269">
        <v>200</v>
      </c>
      <c r="I147" s="489">
        <f>+I148</f>
        <v>0</v>
      </c>
      <c r="J147" s="489">
        <f t="shared" ref="J147:K148" si="108">+J148</f>
        <v>0</v>
      </c>
      <c r="K147" s="566">
        <f t="shared" si="108"/>
        <v>0</v>
      </c>
      <c r="L147" s="519" t="e">
        <f t="shared" si="92"/>
        <v>#DIV/0!</v>
      </c>
      <c r="M147" s="519" t="e">
        <f t="shared" si="93"/>
        <v>#DIV/0!</v>
      </c>
    </row>
    <row r="148" spans="1:29" ht="37.5" hidden="1">
      <c r="A148" s="428"/>
      <c r="B148" s="441" t="s">
        <v>509</v>
      </c>
      <c r="C148" s="520"/>
      <c r="D148" s="520"/>
      <c r="E148" s="520"/>
      <c r="F148" s="520"/>
      <c r="G148" s="520"/>
      <c r="H148" s="521"/>
      <c r="I148" s="487">
        <f>+I149</f>
        <v>0</v>
      </c>
      <c r="J148" s="487">
        <f t="shared" si="108"/>
        <v>0</v>
      </c>
      <c r="K148" s="560">
        <f t="shared" si="108"/>
        <v>0</v>
      </c>
      <c r="L148" s="519" t="e">
        <f t="shared" si="92"/>
        <v>#DIV/0!</v>
      </c>
      <c r="M148" s="519" t="e">
        <f t="shared" si="93"/>
        <v>#DIV/0!</v>
      </c>
    </row>
    <row r="149" spans="1:29" ht="18.75" hidden="1">
      <c r="A149" s="428"/>
      <c r="B149" s="441" t="s">
        <v>387</v>
      </c>
      <c r="C149" s="404"/>
      <c r="D149" s="404"/>
      <c r="E149" s="404"/>
      <c r="F149" s="404"/>
      <c r="G149" s="404"/>
      <c r="H149" s="517"/>
      <c r="I149" s="476"/>
      <c r="J149" s="472"/>
      <c r="K149" s="561"/>
      <c r="L149" s="519" t="e">
        <f t="shared" si="92"/>
        <v>#DIV/0!</v>
      </c>
      <c r="M149" s="519" t="e">
        <f t="shared" si="93"/>
        <v>#DIV/0!</v>
      </c>
    </row>
    <row r="150" spans="1:29" ht="18.75" hidden="1">
      <c r="A150" s="428">
        <v>5</v>
      </c>
      <c r="B150" s="444" t="s">
        <v>511</v>
      </c>
      <c r="C150" s="404"/>
      <c r="D150" s="404"/>
      <c r="E150" s="404"/>
      <c r="F150" s="404"/>
      <c r="G150" s="404"/>
      <c r="H150" s="517"/>
      <c r="I150" s="491">
        <f t="shared" ref="I150:K151" si="109">+I151</f>
        <v>250000000</v>
      </c>
      <c r="J150" s="491">
        <f t="shared" si="109"/>
        <v>243060000</v>
      </c>
      <c r="K150" s="565">
        <f t="shared" si="109"/>
        <v>0</v>
      </c>
      <c r="L150" s="518">
        <f t="shared" si="92"/>
        <v>97.224000000000004</v>
      </c>
      <c r="M150" s="519" t="e">
        <f t="shared" si="93"/>
        <v>#DIV/0!</v>
      </c>
    </row>
    <row r="151" spans="1:29" ht="18.75" hidden="1">
      <c r="A151" s="437"/>
      <c r="B151" s="441" t="s">
        <v>507</v>
      </c>
      <c r="C151" s="404"/>
      <c r="D151" s="404"/>
      <c r="E151" s="404"/>
      <c r="F151" s="404"/>
      <c r="G151" s="404"/>
      <c r="H151" s="517"/>
      <c r="I151" s="488">
        <f t="shared" si="109"/>
        <v>250000000</v>
      </c>
      <c r="J151" s="488">
        <f t="shared" si="109"/>
        <v>243060000</v>
      </c>
      <c r="K151" s="562">
        <f t="shared" si="109"/>
        <v>0</v>
      </c>
      <c r="L151" s="518">
        <f t="shared" si="92"/>
        <v>97.224000000000004</v>
      </c>
      <c r="M151" s="519" t="e">
        <f t="shared" si="93"/>
        <v>#DIV/0!</v>
      </c>
    </row>
    <row r="152" spans="1:29" ht="56.25" hidden="1">
      <c r="A152" s="437"/>
      <c r="B152" s="441" t="s">
        <v>451</v>
      </c>
      <c r="C152" s="123">
        <v>1029499</v>
      </c>
      <c r="D152" s="123">
        <v>412</v>
      </c>
      <c r="E152" s="536">
        <v>282</v>
      </c>
      <c r="F152" s="536">
        <v>14</v>
      </c>
      <c r="G152" s="536"/>
      <c r="H152" s="537">
        <v>200</v>
      </c>
      <c r="I152" s="476">
        <v>250000000</v>
      </c>
      <c r="J152" s="488">
        <v>243060000</v>
      </c>
      <c r="K152" s="561"/>
      <c r="L152" s="518">
        <f t="shared" si="92"/>
        <v>97.224000000000004</v>
      </c>
      <c r="M152" s="519" t="e">
        <f t="shared" si="93"/>
        <v>#DIV/0!</v>
      </c>
    </row>
    <row r="153" spans="1:29" ht="18.75" hidden="1">
      <c r="A153" s="433" t="s">
        <v>5</v>
      </c>
      <c r="B153" s="434" t="s">
        <v>303</v>
      </c>
      <c r="C153" s="520"/>
      <c r="D153" s="520"/>
      <c r="E153" s="520"/>
      <c r="F153" s="520" t="s">
        <v>339</v>
      </c>
      <c r="G153" s="520"/>
      <c r="H153" s="521">
        <v>200</v>
      </c>
      <c r="I153" s="484">
        <f>I154+I181+I185+I189+I193</f>
        <v>3205341740</v>
      </c>
      <c r="J153" s="484">
        <f t="shared" ref="J153:K153" si="110">J154+J181+J185+J189+J193</f>
        <v>3108293660</v>
      </c>
      <c r="K153" s="484">
        <f t="shared" si="110"/>
        <v>3405206331</v>
      </c>
      <c r="L153" s="518">
        <f t="shared" si="92"/>
        <v>96.972301617985977</v>
      </c>
      <c r="M153" s="518">
        <f t="shared" si="93"/>
        <v>91.280626131315628</v>
      </c>
      <c r="AA153" s="129">
        <f>+I153+I517</f>
        <v>3210341740</v>
      </c>
      <c r="AB153" s="129"/>
      <c r="AC153" s="129"/>
    </row>
    <row r="154" spans="1:29" s="141" customFormat="1" ht="19.5" hidden="1" thickBot="1">
      <c r="A154" s="428">
        <v>1</v>
      </c>
      <c r="B154" s="429" t="s">
        <v>6</v>
      </c>
      <c r="C154" s="123">
        <v>1029499</v>
      </c>
      <c r="D154" s="123">
        <v>412</v>
      </c>
      <c r="E154" s="123">
        <v>282</v>
      </c>
      <c r="F154" s="123">
        <v>12</v>
      </c>
      <c r="G154" s="123"/>
      <c r="H154" s="269">
        <v>200</v>
      </c>
      <c r="I154" s="470">
        <f>I155+I166</f>
        <v>2894141740</v>
      </c>
      <c r="J154" s="470">
        <f t="shared" ref="J154:K154" si="111">J155+J166</f>
        <v>2846573963</v>
      </c>
      <c r="K154" s="470">
        <f t="shared" si="111"/>
        <v>2546519740</v>
      </c>
      <c r="L154" s="518">
        <f t="shared" si="92"/>
        <v>98.35641163172609</v>
      </c>
      <c r="M154" s="518">
        <f t="shared" si="93"/>
        <v>111.78291368752555</v>
      </c>
      <c r="R154" s="385"/>
      <c r="S154" s="385"/>
      <c r="AA154" s="274"/>
    </row>
    <row r="155" spans="1:29" ht="19.5" hidden="1" thickBot="1">
      <c r="A155" s="428" t="s">
        <v>8</v>
      </c>
      <c r="B155" s="421" t="s">
        <v>7</v>
      </c>
      <c r="C155" s="404"/>
      <c r="D155" s="404"/>
      <c r="E155" s="404"/>
      <c r="F155" s="404"/>
      <c r="G155" s="404"/>
      <c r="H155" s="517"/>
      <c r="I155" s="486">
        <f>I156+I164</f>
        <v>2676506740</v>
      </c>
      <c r="J155" s="486">
        <f t="shared" ref="J155:K155" si="112">J156+J164</f>
        <v>2630938963</v>
      </c>
      <c r="K155" s="486">
        <f t="shared" si="112"/>
        <v>2287250260</v>
      </c>
      <c r="L155" s="518">
        <f t="shared" si="92"/>
        <v>98.297490668751323</v>
      </c>
      <c r="M155" s="518">
        <f t="shared" si="93"/>
        <v>115.026283262943</v>
      </c>
      <c r="AA155" s="575"/>
    </row>
    <row r="156" spans="1:29" ht="19.5" hidden="1">
      <c r="A156" s="435" t="s">
        <v>14</v>
      </c>
      <c r="B156" s="436" t="s">
        <v>67</v>
      </c>
      <c r="C156" s="404"/>
      <c r="D156" s="404"/>
      <c r="E156" s="404"/>
      <c r="F156" s="404"/>
      <c r="G156" s="404"/>
      <c r="H156" s="517"/>
      <c r="I156" s="485">
        <f>+I157+I163</f>
        <v>2676506740</v>
      </c>
      <c r="J156" s="485">
        <f t="shared" ref="J156:K156" si="113">+J157+J163</f>
        <v>2630938963</v>
      </c>
      <c r="K156" s="485">
        <f t="shared" si="113"/>
        <v>2108000000</v>
      </c>
      <c r="L156" s="518">
        <f t="shared" si="92"/>
        <v>98.297490668751323</v>
      </c>
      <c r="M156" s="518">
        <f t="shared" si="93"/>
        <v>124.80735118595825</v>
      </c>
    </row>
    <row r="157" spans="1:29" ht="18.75" hidden="1">
      <c r="A157" s="437" t="s">
        <v>96</v>
      </c>
      <c r="B157" s="438" t="s">
        <v>29</v>
      </c>
      <c r="C157" s="404"/>
      <c r="D157" s="404"/>
      <c r="E157" s="404"/>
      <c r="F157" s="404"/>
      <c r="G157" s="404"/>
      <c r="H157" s="517"/>
      <c r="I157" s="487">
        <f>SUM(I158:I162)</f>
        <v>2502506740</v>
      </c>
      <c r="J157" s="487">
        <f t="shared" ref="J157:K157" si="114">SUM(J158:J162)</f>
        <v>2456938963</v>
      </c>
      <c r="K157" s="487">
        <f t="shared" si="114"/>
        <v>1950000000</v>
      </c>
      <c r="L157" s="518">
        <f t="shared" si="92"/>
        <v>98.179114714392341</v>
      </c>
      <c r="M157" s="518">
        <f t="shared" si="93"/>
        <v>125.9968698974359</v>
      </c>
      <c r="AA157" s="129"/>
    </row>
    <row r="158" spans="1:29" ht="18.75" hidden="1">
      <c r="A158" s="437"/>
      <c r="B158" s="439" t="s">
        <v>35</v>
      </c>
      <c r="C158" s="404"/>
      <c r="D158" s="404"/>
      <c r="E158" s="404"/>
      <c r="F158" s="404"/>
      <c r="G158" s="404"/>
      <c r="H158" s="517"/>
      <c r="I158" s="592">
        <f>1460000000</f>
        <v>1460000000</v>
      </c>
      <c r="J158" s="472">
        <v>1460000000</v>
      </c>
      <c r="K158" s="561">
        <v>1448000000</v>
      </c>
      <c r="L158" s="518">
        <f t="shared" si="92"/>
        <v>100</v>
      </c>
      <c r="M158" s="518">
        <f t="shared" si="93"/>
        <v>100.82872928176796</v>
      </c>
    </row>
    <row r="159" spans="1:29" s="649" customFormat="1" ht="37.5" hidden="1">
      <c r="A159" s="666"/>
      <c r="B159" s="651" t="s">
        <v>760</v>
      </c>
      <c r="C159" s="667"/>
      <c r="D159" s="667"/>
      <c r="E159" s="667"/>
      <c r="F159" s="667"/>
      <c r="G159" s="667"/>
      <c r="H159" s="668"/>
      <c r="I159" s="669">
        <v>304000000</v>
      </c>
      <c r="J159" s="653">
        <v>261432223</v>
      </c>
      <c r="K159" s="647"/>
      <c r="L159" s="648"/>
      <c r="M159" s="648"/>
      <c r="R159" s="650"/>
      <c r="S159" s="650"/>
    </row>
    <row r="160" spans="1:29" s="649" customFormat="1" ht="56.25" hidden="1">
      <c r="A160" s="666"/>
      <c r="B160" s="659" t="s">
        <v>759</v>
      </c>
      <c r="C160" s="667"/>
      <c r="D160" s="667"/>
      <c r="E160" s="667"/>
      <c r="F160" s="667"/>
      <c r="G160" s="667"/>
      <c r="H160" s="668"/>
      <c r="I160" s="669">
        <v>2999740</v>
      </c>
      <c r="J160" s="653">
        <v>2999740</v>
      </c>
      <c r="K160" s="647"/>
      <c r="L160" s="648"/>
      <c r="M160" s="648"/>
      <c r="R160" s="650"/>
      <c r="S160" s="650"/>
    </row>
    <row r="161" spans="1:27" s="649" customFormat="1" ht="31.5" hidden="1">
      <c r="A161" s="666"/>
      <c r="B161" s="652" t="s">
        <v>742</v>
      </c>
      <c r="C161" s="667"/>
      <c r="D161" s="667"/>
      <c r="E161" s="667"/>
      <c r="F161" s="667"/>
      <c r="G161" s="667"/>
      <c r="H161" s="668"/>
      <c r="I161" s="669">
        <f>233507000</f>
        <v>233507000</v>
      </c>
      <c r="J161" s="669">
        <f>233507000</f>
        <v>233507000</v>
      </c>
      <c r="K161" s="647"/>
      <c r="L161" s="648"/>
      <c r="M161" s="648"/>
      <c r="R161" s="650"/>
      <c r="S161" s="650"/>
    </row>
    <row r="162" spans="1:27" ht="18.75" hidden="1">
      <c r="A162" s="437"/>
      <c r="B162" s="439" t="s">
        <v>10</v>
      </c>
      <c r="C162" s="404"/>
      <c r="D162" s="404"/>
      <c r="E162" s="404"/>
      <c r="F162" s="404"/>
      <c r="G162" s="404"/>
      <c r="H162" s="517"/>
      <c r="I162" s="473">
        <v>502000000</v>
      </c>
      <c r="J162" s="472">
        <v>499000000</v>
      </c>
      <c r="K162" s="561">
        <v>502000000</v>
      </c>
      <c r="L162" s="518">
        <f t="shared" si="92"/>
        <v>99.402390438247011</v>
      </c>
      <c r="M162" s="518">
        <f t="shared" si="93"/>
        <v>99.402390438247011</v>
      </c>
    </row>
    <row r="163" spans="1:27" ht="37.5" hidden="1">
      <c r="A163" s="437" t="s">
        <v>98</v>
      </c>
      <c r="B163" s="438" t="s">
        <v>349</v>
      </c>
      <c r="C163" s="404"/>
      <c r="D163" s="404"/>
      <c r="E163" s="404"/>
      <c r="F163" s="404"/>
      <c r="G163" s="404"/>
      <c r="H163" s="517"/>
      <c r="I163" s="473">
        <v>174000000</v>
      </c>
      <c r="J163" s="472">
        <v>174000000</v>
      </c>
      <c r="K163" s="561">
        <v>158000000</v>
      </c>
      <c r="L163" s="518">
        <f t="shared" si="92"/>
        <v>100</v>
      </c>
      <c r="M163" s="518">
        <f t="shared" si="93"/>
        <v>110.12658227848102</v>
      </c>
    </row>
    <row r="164" spans="1:27" ht="20.25" hidden="1" thickBot="1">
      <c r="A164" s="435" t="s">
        <v>15</v>
      </c>
      <c r="B164" s="446" t="s">
        <v>69</v>
      </c>
      <c r="C164" s="530">
        <v>1029495</v>
      </c>
      <c r="D164" s="530">
        <v>412</v>
      </c>
      <c r="E164" s="530"/>
      <c r="F164" s="530"/>
      <c r="G164" s="530"/>
      <c r="H164" s="531"/>
      <c r="I164" s="471">
        <f t="shared" ref="I164:K164" si="115">+I165</f>
        <v>0</v>
      </c>
      <c r="J164" s="471">
        <f t="shared" si="115"/>
        <v>0</v>
      </c>
      <c r="K164" s="563">
        <f t="shared" si="115"/>
        <v>179250260</v>
      </c>
      <c r="L164" s="519" t="e">
        <f t="shared" si="92"/>
        <v>#DIV/0!</v>
      </c>
      <c r="M164" s="519">
        <f t="shared" si="93"/>
        <v>0</v>
      </c>
      <c r="N164" s="129">
        <f>+I164+I392</f>
        <v>69580000</v>
      </c>
    </row>
    <row r="165" spans="1:27" ht="38.25" hidden="1" thickBot="1">
      <c r="A165" s="428"/>
      <c r="B165" s="438" t="s">
        <v>512</v>
      </c>
      <c r="C165" s="123">
        <v>1029495</v>
      </c>
      <c r="D165" s="123">
        <v>412</v>
      </c>
      <c r="E165" s="123">
        <v>340</v>
      </c>
      <c r="F165" s="123"/>
      <c r="G165" s="123"/>
      <c r="H165" s="269"/>
      <c r="I165" s="592"/>
      <c r="J165" s="593"/>
      <c r="K165" s="561">
        <v>179250260</v>
      </c>
      <c r="L165" s="519" t="e">
        <f t="shared" si="92"/>
        <v>#DIV/0!</v>
      </c>
      <c r="M165" s="519">
        <f t="shared" si="93"/>
        <v>0</v>
      </c>
    </row>
    <row r="166" spans="1:27" s="603" customFormat="1" ht="18.75" hidden="1">
      <c r="A166" s="607" t="s">
        <v>9</v>
      </c>
      <c r="B166" s="597" t="s">
        <v>608</v>
      </c>
      <c r="C166" s="630"/>
      <c r="D166" s="630"/>
      <c r="E166" s="630"/>
      <c r="F166" s="630"/>
      <c r="G166" s="630"/>
      <c r="H166" s="631"/>
      <c r="I166" s="712">
        <f>+I167+I174+I177+I179</f>
        <v>217635000</v>
      </c>
      <c r="J166" s="712">
        <f t="shared" ref="J166:K166" si="116">+J167+J174+J177+J179</f>
        <v>215635000</v>
      </c>
      <c r="K166" s="712">
        <f t="shared" si="116"/>
        <v>259269480</v>
      </c>
      <c r="L166" s="634"/>
      <c r="M166" s="634"/>
      <c r="R166" s="604"/>
      <c r="S166" s="604"/>
    </row>
    <row r="167" spans="1:27" s="141" customFormat="1" ht="18.75" hidden="1">
      <c r="A167" s="428" t="s">
        <v>770</v>
      </c>
      <c r="B167" s="421" t="s">
        <v>771</v>
      </c>
      <c r="C167" s="123"/>
      <c r="D167" s="123"/>
      <c r="E167" s="123"/>
      <c r="F167" s="123"/>
      <c r="G167" s="123"/>
      <c r="H167" s="269"/>
      <c r="I167" s="486">
        <f>+I168+I169</f>
        <v>145000000</v>
      </c>
      <c r="J167" s="486">
        <f t="shared" ref="J167:K167" si="117">+J168+J169</f>
        <v>143000000</v>
      </c>
      <c r="K167" s="486">
        <f t="shared" si="117"/>
        <v>138101480</v>
      </c>
      <c r="L167" s="518">
        <f t="shared" si="92"/>
        <v>98.620689655172413</v>
      </c>
      <c r="M167" s="518">
        <f t="shared" si="93"/>
        <v>103.54704381155075</v>
      </c>
      <c r="R167" s="385"/>
      <c r="S167" s="385"/>
      <c r="AA167" s="128"/>
    </row>
    <row r="168" spans="1:27" ht="18.75" hidden="1">
      <c r="A168" s="437" t="s">
        <v>14</v>
      </c>
      <c r="B168" s="438" t="s">
        <v>36</v>
      </c>
      <c r="C168" s="123">
        <v>1029495</v>
      </c>
      <c r="D168" s="123">
        <v>412</v>
      </c>
      <c r="E168" s="123">
        <v>341</v>
      </c>
      <c r="F168" s="123">
        <v>13</v>
      </c>
      <c r="G168" s="123"/>
      <c r="H168" s="269">
        <v>200</v>
      </c>
      <c r="I168" s="473">
        <v>54000000</v>
      </c>
      <c r="J168" s="472">
        <v>54000000</v>
      </c>
      <c r="K168" s="561">
        <v>54000000</v>
      </c>
      <c r="L168" s="518">
        <f t="shared" si="92"/>
        <v>100</v>
      </c>
      <c r="M168" s="518">
        <f t="shared" si="93"/>
        <v>100</v>
      </c>
    </row>
    <row r="169" spans="1:27" ht="18.75" hidden="1">
      <c r="A169" s="437" t="s">
        <v>15</v>
      </c>
      <c r="B169" s="447" t="s">
        <v>446</v>
      </c>
      <c r="C169" s="520"/>
      <c r="D169" s="520"/>
      <c r="E169" s="520"/>
      <c r="F169" s="520"/>
      <c r="G169" s="520"/>
      <c r="H169" s="521"/>
      <c r="I169" s="474">
        <f t="shared" ref="I169:K169" si="118">SUM(I170:I173)</f>
        <v>91000000</v>
      </c>
      <c r="J169" s="474">
        <f t="shared" si="118"/>
        <v>89000000</v>
      </c>
      <c r="K169" s="474">
        <f t="shared" si="118"/>
        <v>84101480</v>
      </c>
      <c r="L169" s="518">
        <f t="shared" si="92"/>
        <v>97.802197802197796</v>
      </c>
      <c r="M169" s="518">
        <f t="shared" si="93"/>
        <v>105.82453483577221</v>
      </c>
    </row>
    <row r="170" spans="1:27" ht="37.5" hidden="1">
      <c r="A170" s="428"/>
      <c r="B170" s="439" t="s">
        <v>475</v>
      </c>
      <c r="C170" s="404"/>
      <c r="D170" s="404"/>
      <c r="E170" s="404"/>
      <c r="F170" s="404"/>
      <c r="G170" s="404"/>
      <c r="H170" s="517"/>
      <c r="I170" s="713">
        <v>10000000</v>
      </c>
      <c r="J170" s="472">
        <v>10000000</v>
      </c>
      <c r="K170" s="561">
        <v>6101480</v>
      </c>
      <c r="L170" s="518">
        <f t="shared" si="92"/>
        <v>100</v>
      </c>
      <c r="M170" s="518">
        <f t="shared" si="93"/>
        <v>163.89466162308162</v>
      </c>
    </row>
    <row r="171" spans="1:27" ht="18.75" hidden="1">
      <c r="A171" s="428"/>
      <c r="B171" s="439" t="s">
        <v>350</v>
      </c>
      <c r="C171" s="404"/>
      <c r="D171" s="404"/>
      <c r="E171" s="404"/>
      <c r="F171" s="404"/>
      <c r="G171" s="404"/>
      <c r="H171" s="517"/>
      <c r="I171" s="487">
        <v>10000000</v>
      </c>
      <c r="J171" s="472">
        <v>10000000</v>
      </c>
      <c r="K171" s="561">
        <v>10000000</v>
      </c>
      <c r="L171" s="519">
        <f t="shared" si="92"/>
        <v>100</v>
      </c>
      <c r="M171" s="519">
        <f t="shared" si="93"/>
        <v>100</v>
      </c>
      <c r="N171" s="402"/>
    </row>
    <row r="172" spans="1:27" ht="18.75" hidden="1">
      <c r="A172" s="428"/>
      <c r="B172" s="439" t="s">
        <v>506</v>
      </c>
      <c r="C172" s="520"/>
      <c r="D172" s="520"/>
      <c r="E172" s="520"/>
      <c r="F172" s="520"/>
      <c r="G172" s="520"/>
      <c r="H172" s="521"/>
      <c r="I172" s="591"/>
      <c r="J172" s="472"/>
      <c r="K172" s="561"/>
      <c r="L172" s="519" t="e">
        <f t="shared" ref="L172:L252" si="119">+J172/I172*100</f>
        <v>#DIV/0!</v>
      </c>
      <c r="M172" s="519" t="e">
        <f t="shared" ref="M172:M252" si="120">+J172/K172*100</f>
        <v>#DIV/0!</v>
      </c>
      <c r="N172" s="403"/>
    </row>
    <row r="173" spans="1:27" ht="18.75" hidden="1">
      <c r="A173" s="437"/>
      <c r="B173" s="448" t="s">
        <v>476</v>
      </c>
      <c r="C173" s="536">
        <v>1029495</v>
      </c>
      <c r="D173" s="536">
        <v>412</v>
      </c>
      <c r="E173" s="536">
        <v>341</v>
      </c>
      <c r="F173" s="536">
        <v>14</v>
      </c>
      <c r="G173" s="536"/>
      <c r="H173" s="537">
        <v>200</v>
      </c>
      <c r="I173" s="472">
        <v>71000000</v>
      </c>
      <c r="J173" s="472">
        <v>69000000</v>
      </c>
      <c r="K173" s="561">
        <v>68000000</v>
      </c>
      <c r="L173" s="519">
        <f t="shared" si="119"/>
        <v>97.183098591549296</v>
      </c>
      <c r="M173" s="519">
        <f t="shared" si="120"/>
        <v>101.47058823529412</v>
      </c>
    </row>
    <row r="174" spans="1:27" ht="18.75" hidden="1">
      <c r="A174" s="428" t="s">
        <v>775</v>
      </c>
      <c r="B174" s="440" t="s">
        <v>70</v>
      </c>
      <c r="C174" s="520"/>
      <c r="D174" s="520"/>
      <c r="E174" s="520"/>
      <c r="F174" s="520" t="s">
        <v>339</v>
      </c>
      <c r="G174" s="520"/>
      <c r="H174" s="521">
        <v>200</v>
      </c>
      <c r="I174" s="470">
        <f t="shared" ref="I174:K174" si="121">+I175+I176</f>
        <v>0</v>
      </c>
      <c r="J174" s="470">
        <f t="shared" si="121"/>
        <v>0</v>
      </c>
      <c r="K174" s="470">
        <f t="shared" si="121"/>
        <v>109168000</v>
      </c>
      <c r="L174" s="519" t="e">
        <f t="shared" si="119"/>
        <v>#DIV/0!</v>
      </c>
      <c r="M174" s="519">
        <f t="shared" si="120"/>
        <v>0</v>
      </c>
    </row>
    <row r="175" spans="1:27" s="141" customFormat="1" ht="37.5" hidden="1">
      <c r="A175" s="437"/>
      <c r="B175" s="448" t="s">
        <v>88</v>
      </c>
      <c r="C175" s="123">
        <v>1029495</v>
      </c>
      <c r="D175" s="123">
        <v>412</v>
      </c>
      <c r="E175" s="123">
        <v>341</v>
      </c>
      <c r="F175" s="123">
        <v>12</v>
      </c>
      <c r="G175" s="123"/>
      <c r="H175" s="269">
        <v>200</v>
      </c>
      <c r="I175" s="487">
        <v>0</v>
      </c>
      <c r="J175" s="472"/>
      <c r="K175" s="561">
        <v>1000000</v>
      </c>
      <c r="L175" s="519" t="e">
        <f t="shared" si="119"/>
        <v>#DIV/0!</v>
      </c>
      <c r="M175" s="519">
        <f t="shared" si="120"/>
        <v>0</v>
      </c>
      <c r="R175" s="385"/>
      <c r="S175" s="385"/>
      <c r="AA175" s="128"/>
    </row>
    <row r="176" spans="1:27" ht="56.25" hidden="1">
      <c r="A176" s="437"/>
      <c r="B176" s="448" t="s">
        <v>564</v>
      </c>
      <c r="C176" s="521"/>
      <c r="D176" s="521"/>
      <c r="E176" s="521"/>
      <c r="F176" s="521"/>
      <c r="G176" s="521"/>
      <c r="H176" s="521"/>
      <c r="I176" s="492">
        <v>0</v>
      </c>
      <c r="J176" s="472"/>
      <c r="K176" s="561">
        <v>108168000</v>
      </c>
      <c r="L176" s="519" t="e">
        <f t="shared" si="119"/>
        <v>#DIV/0!</v>
      </c>
      <c r="M176" s="519">
        <f t="shared" si="120"/>
        <v>0</v>
      </c>
    </row>
    <row r="177" spans="1:27" ht="19.5" hidden="1">
      <c r="A177" s="428" t="s">
        <v>776</v>
      </c>
      <c r="B177" s="446" t="s">
        <v>685</v>
      </c>
      <c r="C177" s="521"/>
      <c r="D177" s="521"/>
      <c r="E177" s="521"/>
      <c r="F177" s="521"/>
      <c r="G177" s="521"/>
      <c r="H177" s="521"/>
      <c r="I177" s="470">
        <f t="shared" ref="I177:K177" si="122">+I178</f>
        <v>13750000</v>
      </c>
      <c r="J177" s="470">
        <f t="shared" si="122"/>
        <v>13750000</v>
      </c>
      <c r="K177" s="470">
        <f t="shared" si="122"/>
        <v>12000000</v>
      </c>
      <c r="L177" s="519">
        <f t="shared" si="119"/>
        <v>100</v>
      </c>
      <c r="M177" s="519">
        <f t="shared" si="120"/>
        <v>114.58333333333333</v>
      </c>
    </row>
    <row r="178" spans="1:27" s="141" customFormat="1" ht="18.75" hidden="1">
      <c r="A178" s="437"/>
      <c r="B178" s="438" t="s">
        <v>688</v>
      </c>
      <c r="C178" s="538"/>
      <c r="D178" s="538"/>
      <c r="E178" s="538"/>
      <c r="F178" s="538"/>
      <c r="G178" s="538"/>
      <c r="H178" s="538"/>
      <c r="I178" s="628">
        <v>13750000</v>
      </c>
      <c r="J178" s="657">
        <v>13750000</v>
      </c>
      <c r="K178" s="655">
        <v>12000000</v>
      </c>
      <c r="L178" s="519">
        <f t="shared" si="119"/>
        <v>100</v>
      </c>
      <c r="M178" s="519">
        <f t="shared" si="120"/>
        <v>114.58333333333333</v>
      </c>
      <c r="R178" s="385"/>
      <c r="S178" s="385"/>
      <c r="AA178" s="128"/>
    </row>
    <row r="179" spans="1:27" s="697" customFormat="1" ht="18.75" hidden="1">
      <c r="A179" s="607" t="s">
        <v>777</v>
      </c>
      <c r="B179" s="698" t="s">
        <v>773</v>
      </c>
      <c r="C179" s="695"/>
      <c r="D179" s="695"/>
      <c r="E179" s="695"/>
      <c r="F179" s="695"/>
      <c r="G179" s="695"/>
      <c r="H179" s="695"/>
      <c r="I179" s="632">
        <f>+I180</f>
        <v>58885000</v>
      </c>
      <c r="J179" s="632">
        <f t="shared" ref="J179:K179" si="123">+J180</f>
        <v>58885000</v>
      </c>
      <c r="K179" s="632">
        <f t="shared" si="123"/>
        <v>0</v>
      </c>
      <c r="L179" s="634"/>
      <c r="M179" s="634"/>
      <c r="R179" s="696"/>
      <c r="S179" s="696"/>
      <c r="AA179" s="603"/>
    </row>
    <row r="180" spans="1:27" s="649" customFormat="1" ht="33" hidden="1">
      <c r="A180" s="694"/>
      <c r="B180" s="692" t="s">
        <v>774</v>
      </c>
      <c r="C180" s="644"/>
      <c r="D180" s="644"/>
      <c r="E180" s="644"/>
      <c r="F180" s="644"/>
      <c r="G180" s="644"/>
      <c r="H180" s="644"/>
      <c r="I180" s="628">
        <v>58885000</v>
      </c>
      <c r="J180" s="628">
        <v>58885000</v>
      </c>
      <c r="K180" s="655"/>
      <c r="L180" s="693"/>
      <c r="M180" s="693"/>
      <c r="R180" s="650"/>
      <c r="S180" s="650"/>
      <c r="AA180" s="656"/>
    </row>
    <row r="181" spans="1:27" s="141" customFormat="1" ht="18.75" hidden="1">
      <c r="A181" s="428">
        <v>2</v>
      </c>
      <c r="B181" s="421" t="s">
        <v>537</v>
      </c>
      <c r="C181" s="538"/>
      <c r="D181" s="538"/>
      <c r="E181" s="538"/>
      <c r="F181" s="538"/>
      <c r="G181" s="538"/>
      <c r="H181" s="538"/>
      <c r="I181" s="475">
        <f t="shared" ref="I181:K181" si="124">+I182+I183+I184</f>
        <v>11200000</v>
      </c>
      <c r="J181" s="475">
        <f t="shared" si="124"/>
        <v>11200000</v>
      </c>
      <c r="K181" s="553">
        <f t="shared" si="124"/>
        <v>9800000</v>
      </c>
      <c r="L181" s="518">
        <f t="shared" si="119"/>
        <v>100</v>
      </c>
      <c r="M181" s="518">
        <f t="shared" si="120"/>
        <v>114.28571428571428</v>
      </c>
      <c r="R181" s="385"/>
      <c r="S181" s="385"/>
      <c r="AA181" s="128"/>
    </row>
    <row r="182" spans="1:27" s="141" customFormat="1" ht="18.75" hidden="1">
      <c r="A182" s="437"/>
      <c r="B182" s="439" t="s">
        <v>540</v>
      </c>
      <c r="C182" s="538"/>
      <c r="D182" s="538"/>
      <c r="E182" s="538"/>
      <c r="F182" s="538"/>
      <c r="G182" s="538"/>
      <c r="H182" s="538"/>
      <c r="I182" s="487">
        <v>8400000</v>
      </c>
      <c r="J182" s="472">
        <v>8400000</v>
      </c>
      <c r="K182" s="561">
        <v>8400000</v>
      </c>
      <c r="L182" s="518">
        <f t="shared" si="119"/>
        <v>100</v>
      </c>
      <c r="M182" s="518">
        <f t="shared" si="120"/>
        <v>100</v>
      </c>
      <c r="R182" s="385"/>
      <c r="S182" s="385"/>
      <c r="AA182" s="128"/>
    </row>
    <row r="183" spans="1:27" s="141" customFormat="1" ht="37.5" hidden="1">
      <c r="A183" s="437"/>
      <c r="B183" s="439" t="s">
        <v>541</v>
      </c>
      <c r="C183" s="538"/>
      <c r="D183" s="538"/>
      <c r="E183" s="538"/>
      <c r="F183" s="538"/>
      <c r="G183" s="538"/>
      <c r="H183" s="538"/>
      <c r="I183" s="473">
        <v>1400000</v>
      </c>
      <c r="J183" s="472">
        <v>1400000</v>
      </c>
      <c r="K183" s="561">
        <v>1400000</v>
      </c>
      <c r="L183" s="518">
        <f t="shared" si="119"/>
        <v>100</v>
      </c>
      <c r="M183" s="518">
        <f t="shared" si="120"/>
        <v>100</v>
      </c>
      <c r="R183" s="385"/>
      <c r="S183" s="385"/>
      <c r="AA183" s="128"/>
    </row>
    <row r="184" spans="1:27" s="141" customFormat="1" ht="37.5" hidden="1">
      <c r="A184" s="437"/>
      <c r="B184" s="439" t="s">
        <v>542</v>
      </c>
      <c r="C184" s="538"/>
      <c r="D184" s="538"/>
      <c r="E184" s="538"/>
      <c r="F184" s="538"/>
      <c r="G184" s="538"/>
      <c r="H184" s="538"/>
      <c r="I184" s="473">
        <v>1400000</v>
      </c>
      <c r="J184" s="472">
        <v>1400000</v>
      </c>
      <c r="K184" s="561"/>
      <c r="L184" s="518">
        <f t="shared" si="119"/>
        <v>100</v>
      </c>
      <c r="M184" s="519" t="e">
        <f t="shared" si="120"/>
        <v>#DIV/0!</v>
      </c>
      <c r="R184" s="385"/>
      <c r="S184" s="385"/>
      <c r="AA184" s="128"/>
    </row>
    <row r="185" spans="1:27" s="379" customFormat="1" ht="18.75" hidden="1">
      <c r="A185" s="428">
        <v>3</v>
      </c>
      <c r="B185" s="429" t="s">
        <v>92</v>
      </c>
      <c r="C185" s="539"/>
      <c r="D185" s="539"/>
      <c r="E185" s="539"/>
      <c r="F185" s="539"/>
      <c r="G185" s="539"/>
      <c r="H185" s="539"/>
      <c r="I185" s="470">
        <f t="shared" ref="I185:K185" si="125">I186</f>
        <v>300000000</v>
      </c>
      <c r="J185" s="470">
        <f t="shared" si="125"/>
        <v>250519697</v>
      </c>
      <c r="K185" s="470">
        <f t="shared" si="125"/>
        <v>465838591</v>
      </c>
      <c r="L185" s="518">
        <f t="shared" si="119"/>
        <v>83.50656566666666</v>
      </c>
      <c r="M185" s="518">
        <f t="shared" si="120"/>
        <v>53.778218859501912</v>
      </c>
      <c r="R185" s="393"/>
      <c r="S185" s="393"/>
      <c r="AA185" s="128"/>
    </row>
    <row r="186" spans="1:27" s="268" customFormat="1" ht="39" hidden="1">
      <c r="A186" s="435"/>
      <c r="B186" s="436" t="s">
        <v>513</v>
      </c>
      <c r="C186" s="538"/>
      <c r="D186" s="538"/>
      <c r="E186" s="538"/>
      <c r="F186" s="538"/>
      <c r="G186" s="538"/>
      <c r="H186" s="538"/>
      <c r="I186" s="485">
        <f t="shared" ref="I186" si="126">I187+I188</f>
        <v>300000000</v>
      </c>
      <c r="J186" s="485">
        <f t="shared" ref="J186:K186" si="127">J187+J188</f>
        <v>250519697</v>
      </c>
      <c r="K186" s="485">
        <f t="shared" si="127"/>
        <v>465838591</v>
      </c>
      <c r="L186" s="518">
        <f t="shared" si="119"/>
        <v>83.50656566666666</v>
      </c>
      <c r="M186" s="518">
        <f t="shared" si="120"/>
        <v>53.778218859501912</v>
      </c>
      <c r="R186" s="389"/>
      <c r="S186" s="389"/>
      <c r="AA186" s="128"/>
    </row>
    <row r="187" spans="1:27" s="268" customFormat="1" ht="37.5" hidden="1">
      <c r="A187" s="437" t="s">
        <v>14</v>
      </c>
      <c r="B187" s="430" t="s">
        <v>459</v>
      </c>
      <c r="C187" s="538"/>
      <c r="D187" s="538"/>
      <c r="E187" s="538"/>
      <c r="F187" s="538"/>
      <c r="G187" s="538"/>
      <c r="H187" s="538"/>
      <c r="I187" s="475">
        <f>350000000*0</f>
        <v>0</v>
      </c>
      <c r="J187" s="472"/>
      <c r="K187" s="561">
        <v>215638902</v>
      </c>
      <c r="L187" s="519" t="e">
        <f t="shared" si="119"/>
        <v>#DIV/0!</v>
      </c>
      <c r="M187" s="519">
        <f t="shared" si="120"/>
        <v>0</v>
      </c>
      <c r="R187" s="389"/>
      <c r="S187" s="389"/>
      <c r="AA187" s="128"/>
    </row>
    <row r="188" spans="1:27" ht="37.5" hidden="1">
      <c r="A188" s="437" t="s">
        <v>15</v>
      </c>
      <c r="B188" s="430" t="s">
        <v>460</v>
      </c>
      <c r="C188" s="123">
        <v>1029495</v>
      </c>
      <c r="D188" s="123">
        <v>412</v>
      </c>
      <c r="E188" s="123">
        <v>280</v>
      </c>
      <c r="F188" s="123"/>
      <c r="G188" s="123"/>
      <c r="H188" s="269"/>
      <c r="I188" s="474">
        <v>300000000</v>
      </c>
      <c r="J188" s="472">
        <v>250519697</v>
      </c>
      <c r="K188" s="561">
        <v>250199689</v>
      </c>
      <c r="L188" s="518">
        <f t="shared" si="119"/>
        <v>83.50656566666666</v>
      </c>
      <c r="M188" s="518">
        <f t="shared" si="120"/>
        <v>100.12790103827827</v>
      </c>
    </row>
    <row r="189" spans="1:27" ht="18.75" hidden="1">
      <c r="A189" s="428">
        <v>4</v>
      </c>
      <c r="B189" s="429" t="s">
        <v>532</v>
      </c>
      <c r="C189" s="123"/>
      <c r="D189" s="123"/>
      <c r="E189" s="123"/>
      <c r="F189" s="123"/>
      <c r="G189" s="123"/>
      <c r="H189" s="269"/>
      <c r="I189" s="470">
        <f t="shared" ref="I189:K189" si="128">+I190</f>
        <v>0</v>
      </c>
      <c r="J189" s="470">
        <f t="shared" si="128"/>
        <v>0</v>
      </c>
      <c r="K189" s="470">
        <f t="shared" si="128"/>
        <v>0</v>
      </c>
      <c r="L189" s="519" t="e">
        <f t="shared" si="119"/>
        <v>#DIV/0!</v>
      </c>
      <c r="M189" s="519" t="e">
        <f t="shared" si="120"/>
        <v>#DIV/0!</v>
      </c>
    </row>
    <row r="190" spans="1:27" ht="18.75" hidden="1">
      <c r="A190" s="428"/>
      <c r="B190" s="429" t="s">
        <v>514</v>
      </c>
      <c r="C190" s="123">
        <v>1029495</v>
      </c>
      <c r="D190" s="123">
        <v>412</v>
      </c>
      <c r="E190" s="123">
        <v>281</v>
      </c>
      <c r="F190" s="123">
        <v>13</v>
      </c>
      <c r="G190" s="123"/>
      <c r="H190" s="269">
        <v>200</v>
      </c>
      <c r="I190" s="470">
        <f>+I191+I192</f>
        <v>0</v>
      </c>
      <c r="J190" s="470">
        <f t="shared" ref="J190:K190" si="129">+J191+J192</f>
        <v>0</v>
      </c>
      <c r="K190" s="470">
        <f t="shared" si="129"/>
        <v>0</v>
      </c>
      <c r="L190" s="519" t="e">
        <f t="shared" si="119"/>
        <v>#DIV/0!</v>
      </c>
      <c r="M190" s="519" t="e">
        <f t="shared" si="120"/>
        <v>#DIV/0!</v>
      </c>
    </row>
    <row r="191" spans="1:27" ht="56.25" hidden="1">
      <c r="A191" s="437"/>
      <c r="B191" s="438" t="s">
        <v>533</v>
      </c>
      <c r="C191" s="520"/>
      <c r="D191" s="520"/>
      <c r="E191" s="520"/>
      <c r="F191" s="520"/>
      <c r="G191" s="520"/>
      <c r="H191" s="521"/>
      <c r="I191" s="595"/>
      <c r="J191" s="472">
        <v>0</v>
      </c>
      <c r="K191" s="561">
        <v>0</v>
      </c>
      <c r="L191" s="519" t="e">
        <f t="shared" si="119"/>
        <v>#DIV/0!</v>
      </c>
      <c r="M191" s="519" t="e">
        <f t="shared" si="120"/>
        <v>#DIV/0!</v>
      </c>
    </row>
    <row r="192" spans="1:27" ht="37.5" hidden="1">
      <c r="A192" s="437"/>
      <c r="B192" s="438" t="s">
        <v>689</v>
      </c>
      <c r="C192" s="404"/>
      <c r="D192" s="404"/>
      <c r="E192" s="404"/>
      <c r="F192" s="404"/>
      <c r="G192" s="404"/>
      <c r="H192" s="517"/>
      <c r="I192" s="488"/>
      <c r="J192" s="472"/>
      <c r="K192" s="561"/>
      <c r="L192" s="519" t="e">
        <f t="shared" si="119"/>
        <v>#DIV/0!</v>
      </c>
      <c r="M192" s="519" t="e">
        <f t="shared" si="120"/>
        <v>#DIV/0!</v>
      </c>
    </row>
    <row r="193" spans="1:29" ht="37.5" hidden="1">
      <c r="A193" s="428">
        <v>5</v>
      </c>
      <c r="B193" s="429" t="s">
        <v>690</v>
      </c>
      <c r="C193" s="520"/>
      <c r="D193" s="520"/>
      <c r="E193" s="520"/>
      <c r="F193" s="520"/>
      <c r="G193" s="520"/>
      <c r="H193" s="521"/>
      <c r="I193" s="470">
        <f t="shared" ref="I193:K193" si="130">+I194</f>
        <v>0</v>
      </c>
      <c r="J193" s="470">
        <f t="shared" si="130"/>
        <v>0</v>
      </c>
      <c r="K193" s="556">
        <f t="shared" si="130"/>
        <v>383048000</v>
      </c>
      <c r="L193" s="519" t="e">
        <f t="shared" si="119"/>
        <v>#DIV/0!</v>
      </c>
      <c r="M193" s="519">
        <f t="shared" si="120"/>
        <v>0</v>
      </c>
    </row>
    <row r="194" spans="1:29" ht="37.5" hidden="1">
      <c r="A194" s="437"/>
      <c r="B194" s="438" t="s">
        <v>691</v>
      </c>
      <c r="C194" s="536">
        <v>1029495</v>
      </c>
      <c r="D194" s="536">
        <v>412</v>
      </c>
      <c r="E194" s="536">
        <v>281</v>
      </c>
      <c r="F194" s="536">
        <v>14</v>
      </c>
      <c r="G194" s="536"/>
      <c r="H194" s="537">
        <v>200</v>
      </c>
      <c r="I194" s="493">
        <v>0</v>
      </c>
      <c r="J194" s="472">
        <v>0</v>
      </c>
      <c r="K194" s="561">
        <v>383048000</v>
      </c>
      <c r="L194" s="519" t="e">
        <f t="shared" si="119"/>
        <v>#DIV/0!</v>
      </c>
      <c r="M194" s="519">
        <f t="shared" si="120"/>
        <v>0</v>
      </c>
    </row>
    <row r="195" spans="1:29" ht="18.75" hidden="1">
      <c r="A195" s="433" t="s">
        <v>90</v>
      </c>
      <c r="B195" s="434" t="s">
        <v>304</v>
      </c>
      <c r="C195" s="520"/>
      <c r="D195" s="520"/>
      <c r="E195" s="520"/>
      <c r="F195" s="520" t="s">
        <v>339</v>
      </c>
      <c r="G195" s="520"/>
      <c r="H195" s="521">
        <v>200</v>
      </c>
      <c r="I195" s="484">
        <f>+I196+I234+I238</f>
        <v>19368577266</v>
      </c>
      <c r="J195" s="484">
        <f t="shared" ref="J195:K195" si="131">+J196+J234+J238</f>
        <v>18965502949</v>
      </c>
      <c r="K195" s="484">
        <f t="shared" si="131"/>
        <v>17622300737</v>
      </c>
      <c r="L195" s="518">
        <f t="shared" si="119"/>
        <v>97.918926560973759</v>
      </c>
      <c r="M195" s="518">
        <f t="shared" si="120"/>
        <v>107.62217279143238</v>
      </c>
      <c r="AA195" s="129">
        <v>19326577266</v>
      </c>
      <c r="AB195" s="129"/>
      <c r="AC195" s="129"/>
    </row>
    <row r="196" spans="1:29" ht="18.75" hidden="1">
      <c r="A196" s="428">
        <v>1</v>
      </c>
      <c r="B196" s="429" t="s">
        <v>6</v>
      </c>
      <c r="C196" s="123">
        <v>1029495</v>
      </c>
      <c r="D196" s="123">
        <v>412</v>
      </c>
      <c r="E196" s="123">
        <v>281</v>
      </c>
      <c r="F196" s="123">
        <v>12</v>
      </c>
      <c r="G196" s="123"/>
      <c r="H196" s="269">
        <v>200</v>
      </c>
      <c r="I196" s="470">
        <f>+I197+I209</f>
        <v>15313053595</v>
      </c>
      <c r="J196" s="470">
        <f t="shared" ref="J196:K196" si="132">+J197+J209</f>
        <v>14930869816</v>
      </c>
      <c r="K196" s="470">
        <f t="shared" si="132"/>
        <v>12841868022</v>
      </c>
      <c r="L196" s="518">
        <f t="shared" si="119"/>
        <v>97.504196164213838</v>
      </c>
      <c r="M196" s="518">
        <f t="shared" si="120"/>
        <v>116.26711776216072</v>
      </c>
      <c r="AA196" s="129">
        <f>+I195-AA195</f>
        <v>42000000</v>
      </c>
    </row>
    <row r="197" spans="1:29" ht="18.75" hidden="1">
      <c r="A197" s="428" t="s">
        <v>8</v>
      </c>
      <c r="B197" s="421" t="s">
        <v>7</v>
      </c>
      <c r="C197" s="520"/>
      <c r="D197" s="520"/>
      <c r="E197" s="520"/>
      <c r="F197" s="520"/>
      <c r="G197" s="520"/>
      <c r="H197" s="521"/>
      <c r="I197" s="486">
        <f>I198+I207</f>
        <v>13784720319</v>
      </c>
      <c r="J197" s="486">
        <f t="shared" ref="J197:K197" si="133">J198+J207</f>
        <v>13539477252</v>
      </c>
      <c r="K197" s="486">
        <f t="shared" si="133"/>
        <v>11086257405</v>
      </c>
      <c r="L197" s="518">
        <f t="shared" si="119"/>
        <v>98.220906472349881</v>
      </c>
      <c r="M197" s="518">
        <f t="shared" si="120"/>
        <v>122.12847634129058</v>
      </c>
      <c r="AA197" s="129"/>
    </row>
    <row r="198" spans="1:29" ht="18.75" hidden="1">
      <c r="A198" s="428" t="s">
        <v>14</v>
      </c>
      <c r="B198" s="421" t="s">
        <v>67</v>
      </c>
      <c r="C198" s="520"/>
      <c r="D198" s="520"/>
      <c r="E198" s="520"/>
      <c r="F198" s="520"/>
      <c r="G198" s="520"/>
      <c r="H198" s="521"/>
      <c r="I198" s="486">
        <f>+I199+I206</f>
        <v>13784720319</v>
      </c>
      <c r="J198" s="486">
        <f t="shared" ref="J198:K198" si="134">+J199+J206</f>
        <v>13539477252</v>
      </c>
      <c r="K198" s="486">
        <f t="shared" si="134"/>
        <v>10390000000</v>
      </c>
      <c r="L198" s="518">
        <f t="shared" si="119"/>
        <v>98.220906472349881</v>
      </c>
      <c r="M198" s="518">
        <f t="shared" si="120"/>
        <v>130.31258182868143</v>
      </c>
      <c r="AA198" s="129"/>
    </row>
    <row r="199" spans="1:29" ht="18.75" hidden="1">
      <c r="A199" s="437" t="s">
        <v>96</v>
      </c>
      <c r="B199" s="438" t="s">
        <v>29</v>
      </c>
      <c r="C199" s="520"/>
      <c r="D199" s="520"/>
      <c r="E199" s="520"/>
      <c r="F199" s="520"/>
      <c r="G199" s="520"/>
      <c r="H199" s="521"/>
      <c r="I199" s="487">
        <f>SUM(I200:I205)</f>
        <v>12860720319</v>
      </c>
      <c r="J199" s="487">
        <f t="shared" ref="J199:K199" si="135">SUM(J200:J205)</f>
        <v>12615477252</v>
      </c>
      <c r="K199" s="487">
        <f t="shared" si="135"/>
        <v>9519000000</v>
      </c>
      <c r="L199" s="518">
        <f t="shared" si="119"/>
        <v>98.093084516909329</v>
      </c>
      <c r="M199" s="518">
        <f t="shared" si="120"/>
        <v>132.52943851244879</v>
      </c>
      <c r="AA199" s="129">
        <f>+J195+J522</f>
        <v>18975502949</v>
      </c>
      <c r="AC199" s="129"/>
    </row>
    <row r="200" spans="1:29" s="649" customFormat="1" ht="18.75" hidden="1">
      <c r="A200" s="666"/>
      <c r="B200" s="642" t="s">
        <v>37</v>
      </c>
      <c r="C200" s="643"/>
      <c r="D200" s="643"/>
      <c r="E200" s="643"/>
      <c r="F200" s="643"/>
      <c r="G200" s="643"/>
      <c r="H200" s="644"/>
      <c r="I200" s="669">
        <f>8028000000</f>
        <v>8028000000</v>
      </c>
      <c r="J200" s="669">
        <f>8028000000</f>
        <v>8028000000</v>
      </c>
      <c r="K200" s="647">
        <v>7804000000</v>
      </c>
      <c r="L200" s="648">
        <f t="shared" si="119"/>
        <v>100</v>
      </c>
      <c r="M200" s="648">
        <f t="shared" si="120"/>
        <v>102.87032291132752</v>
      </c>
      <c r="R200" s="650"/>
      <c r="S200" s="650"/>
      <c r="AA200" s="704"/>
    </row>
    <row r="201" spans="1:29" s="649" customFormat="1" ht="37.5" hidden="1">
      <c r="A201" s="666"/>
      <c r="B201" s="651" t="s">
        <v>761</v>
      </c>
      <c r="C201" s="643"/>
      <c r="D201" s="643"/>
      <c r="E201" s="643"/>
      <c r="F201" s="643"/>
      <c r="G201" s="643"/>
      <c r="H201" s="644"/>
      <c r="I201" s="670">
        <v>1670000000</v>
      </c>
      <c r="J201" s="670">
        <v>1670000000</v>
      </c>
      <c r="K201" s="647"/>
      <c r="L201" s="648"/>
      <c r="M201" s="648"/>
      <c r="R201" s="650"/>
      <c r="S201" s="650"/>
      <c r="AA201" s="704"/>
    </row>
    <row r="202" spans="1:29" s="649" customFormat="1" ht="56.25" hidden="1">
      <c r="A202" s="666"/>
      <c r="B202" s="659" t="s">
        <v>759</v>
      </c>
      <c r="C202" s="643"/>
      <c r="D202" s="643"/>
      <c r="E202" s="643"/>
      <c r="F202" s="643"/>
      <c r="G202" s="643"/>
      <c r="H202" s="644"/>
      <c r="I202" s="670">
        <v>2174319</v>
      </c>
      <c r="J202" s="670">
        <v>2174319</v>
      </c>
      <c r="K202" s="647"/>
      <c r="L202" s="648"/>
      <c r="M202" s="648"/>
      <c r="R202" s="650"/>
      <c r="S202" s="650"/>
      <c r="AA202" s="704"/>
    </row>
    <row r="203" spans="1:29" s="649" customFormat="1" ht="33" hidden="1">
      <c r="A203" s="666"/>
      <c r="B203" s="705" t="s">
        <v>762</v>
      </c>
      <c r="C203" s="643"/>
      <c r="D203" s="643"/>
      <c r="E203" s="643"/>
      <c r="F203" s="643"/>
      <c r="G203" s="643"/>
      <c r="H203" s="644"/>
      <c r="I203" s="671">
        <f>1344546000</f>
        <v>1344546000</v>
      </c>
      <c r="J203" s="645">
        <v>1123302933</v>
      </c>
      <c r="K203" s="647"/>
      <c r="L203" s="648"/>
      <c r="M203" s="648"/>
      <c r="R203" s="650"/>
      <c r="S203" s="650"/>
    </row>
    <row r="204" spans="1:29" s="649" customFormat="1" ht="19.5" hidden="1">
      <c r="A204" s="596"/>
      <c r="B204" s="642" t="s">
        <v>10</v>
      </c>
      <c r="C204" s="643"/>
      <c r="D204" s="643"/>
      <c r="E204" s="643"/>
      <c r="F204" s="643"/>
      <c r="G204" s="643"/>
      <c r="H204" s="644"/>
      <c r="I204" s="672">
        <v>1714000000</v>
      </c>
      <c r="J204" s="653">
        <v>1690000000</v>
      </c>
      <c r="K204" s="647">
        <v>1715000000</v>
      </c>
      <c r="L204" s="648">
        <f t="shared" si="119"/>
        <v>98.599766627771288</v>
      </c>
      <c r="M204" s="648">
        <f t="shared" si="120"/>
        <v>98.542274052478135</v>
      </c>
      <c r="R204" s="650"/>
      <c r="S204" s="650"/>
    </row>
    <row r="205" spans="1:29" s="649" customFormat="1" ht="37.5" hidden="1">
      <c r="A205" s="596"/>
      <c r="B205" s="642" t="s">
        <v>534</v>
      </c>
      <c r="C205" s="643"/>
      <c r="D205" s="643"/>
      <c r="E205" s="643"/>
      <c r="F205" s="643"/>
      <c r="G205" s="643"/>
      <c r="H205" s="644"/>
      <c r="I205" s="672">
        <v>102000000</v>
      </c>
      <c r="J205" s="672">
        <v>102000000</v>
      </c>
      <c r="K205" s="647"/>
      <c r="L205" s="673">
        <f t="shared" si="119"/>
        <v>100</v>
      </c>
      <c r="M205" s="673" t="e">
        <f t="shared" si="120"/>
        <v>#DIV/0!</v>
      </c>
      <c r="R205" s="650"/>
      <c r="S205" s="650"/>
    </row>
    <row r="206" spans="1:29" ht="37.5" hidden="1">
      <c r="A206" s="437" t="s">
        <v>98</v>
      </c>
      <c r="B206" s="438" t="s">
        <v>363</v>
      </c>
      <c r="C206" s="123">
        <v>1029495</v>
      </c>
      <c r="D206" s="123">
        <v>412</v>
      </c>
      <c r="E206" s="123">
        <v>250</v>
      </c>
      <c r="F206" s="123">
        <v>12</v>
      </c>
      <c r="G206" s="123"/>
      <c r="H206" s="269">
        <v>200</v>
      </c>
      <c r="I206" s="473">
        <v>924000000</v>
      </c>
      <c r="J206" s="473">
        <v>924000000</v>
      </c>
      <c r="K206" s="561">
        <v>871000000</v>
      </c>
      <c r="L206" s="518">
        <f t="shared" si="119"/>
        <v>100</v>
      </c>
      <c r="M206" s="518">
        <f t="shared" si="120"/>
        <v>106.0849598163031</v>
      </c>
    </row>
    <row r="207" spans="1:29" ht="19.5" hidden="1" thickBot="1">
      <c r="A207" s="428" t="s">
        <v>15</v>
      </c>
      <c r="B207" s="421" t="s">
        <v>69</v>
      </c>
      <c r="C207" s="123"/>
      <c r="D207" s="123"/>
      <c r="E207" s="123"/>
      <c r="F207" s="123"/>
      <c r="G207" s="123"/>
      <c r="H207" s="269"/>
      <c r="I207" s="475">
        <f t="shared" ref="I207:K207" si="136">I208</f>
        <v>0</v>
      </c>
      <c r="J207" s="475">
        <f t="shared" si="136"/>
        <v>0</v>
      </c>
      <c r="K207" s="553">
        <f t="shared" si="136"/>
        <v>696257405</v>
      </c>
      <c r="L207" s="519" t="e">
        <f t="shared" si="119"/>
        <v>#DIV/0!</v>
      </c>
      <c r="M207" s="519">
        <f t="shared" si="120"/>
        <v>0</v>
      </c>
    </row>
    <row r="208" spans="1:29" ht="38.25" hidden="1" thickBot="1">
      <c r="A208" s="428"/>
      <c r="B208" s="438" t="s">
        <v>515</v>
      </c>
      <c r="C208" s="520"/>
      <c r="D208" s="520"/>
      <c r="E208" s="520">
        <v>278</v>
      </c>
      <c r="F208" s="520">
        <v>12</v>
      </c>
      <c r="G208" s="520"/>
      <c r="H208" s="521">
        <v>200</v>
      </c>
      <c r="I208" s="587"/>
      <c r="J208" s="588"/>
      <c r="K208" s="561">
        <v>696257405</v>
      </c>
      <c r="L208" s="519" t="e">
        <f t="shared" si="119"/>
        <v>#DIV/0!</v>
      </c>
      <c r="M208" s="519">
        <f t="shared" si="120"/>
        <v>0</v>
      </c>
    </row>
    <row r="209" spans="1:28" ht="18.75" hidden="1">
      <c r="A209" s="428" t="s">
        <v>9</v>
      </c>
      <c r="B209" s="597" t="s">
        <v>772</v>
      </c>
      <c r="C209" s="520"/>
      <c r="D209" s="520"/>
      <c r="E209" s="520"/>
      <c r="F209" s="520"/>
      <c r="G209" s="520"/>
      <c r="H209" s="521"/>
      <c r="I209" s="688">
        <f>+I210+I227+I229+I232</f>
        <v>1528333276</v>
      </c>
      <c r="J209" s="688">
        <f t="shared" ref="J209:K209" si="137">+J210+J227+J229+J232</f>
        <v>1391392564</v>
      </c>
      <c r="K209" s="688">
        <f t="shared" si="137"/>
        <v>1755610617</v>
      </c>
      <c r="L209" s="519"/>
      <c r="M209" s="519"/>
    </row>
    <row r="210" spans="1:28" s="603" customFormat="1" ht="18.75" hidden="1">
      <c r="A210" s="607" t="s">
        <v>770</v>
      </c>
      <c r="B210" s="597" t="s">
        <v>771</v>
      </c>
      <c r="C210" s="691">
        <v>1029500</v>
      </c>
      <c r="D210" s="691">
        <v>412</v>
      </c>
      <c r="E210" s="691"/>
      <c r="F210" s="691"/>
      <c r="G210" s="691"/>
      <c r="H210" s="690"/>
      <c r="I210" s="632">
        <f>+I211+I212+I221+I222+I223+I224+I225+I226</f>
        <v>998093276</v>
      </c>
      <c r="J210" s="632">
        <f t="shared" ref="J210:K210" si="138">+J211+J212+J221+J222+J223+J224+J225+J226</f>
        <v>956077564</v>
      </c>
      <c r="K210" s="632">
        <f t="shared" si="138"/>
        <v>1722610617</v>
      </c>
      <c r="L210" s="602">
        <f t="shared" si="119"/>
        <v>95.790402258956803</v>
      </c>
      <c r="M210" s="602">
        <f t="shared" si="120"/>
        <v>55.501664425187968</v>
      </c>
      <c r="N210" s="689">
        <f>+I210+10000000</f>
        <v>1008093276</v>
      </c>
      <c r="R210" s="604"/>
      <c r="S210" s="604"/>
      <c r="AA210" s="689"/>
    </row>
    <row r="211" spans="1:28" ht="18.75" hidden="1">
      <c r="A211" s="437" t="s">
        <v>14</v>
      </c>
      <c r="B211" s="450" t="s">
        <v>33</v>
      </c>
      <c r="C211" s="123">
        <v>1029500</v>
      </c>
      <c r="D211" s="123">
        <v>412</v>
      </c>
      <c r="E211" s="123">
        <v>340</v>
      </c>
      <c r="F211" s="123"/>
      <c r="G211" s="123"/>
      <c r="H211" s="269"/>
      <c r="I211" s="487">
        <v>120000000</v>
      </c>
      <c r="J211" s="487">
        <v>120000000</v>
      </c>
      <c r="K211" s="561">
        <v>119971036</v>
      </c>
      <c r="L211" s="518">
        <f t="shared" si="119"/>
        <v>100</v>
      </c>
      <c r="M211" s="518">
        <f t="shared" si="120"/>
        <v>100.02414249385994</v>
      </c>
    </row>
    <row r="212" spans="1:28" ht="18.75" hidden="1">
      <c r="A212" s="437" t="s">
        <v>15</v>
      </c>
      <c r="B212" s="451" t="s">
        <v>419</v>
      </c>
      <c r="C212" s="123"/>
      <c r="D212" s="123"/>
      <c r="E212" s="123"/>
      <c r="F212" s="123"/>
      <c r="G212" s="123"/>
      <c r="H212" s="269"/>
      <c r="I212" s="488">
        <f>SUM(I213:I220)</f>
        <v>490000000</v>
      </c>
      <c r="J212" s="488">
        <f t="shared" ref="J212:K212" si="139">SUM(J213:J220)</f>
        <v>456842564</v>
      </c>
      <c r="K212" s="488">
        <f t="shared" si="139"/>
        <v>1324643701</v>
      </c>
      <c r="L212" s="518">
        <f t="shared" si="119"/>
        <v>93.233176326530611</v>
      </c>
      <c r="M212" s="518">
        <f t="shared" si="120"/>
        <v>34.487958056579323</v>
      </c>
      <c r="AB212" s="129"/>
    </row>
    <row r="213" spans="1:28" ht="19.5" hidden="1">
      <c r="A213" s="435"/>
      <c r="B213" s="452" t="s">
        <v>351</v>
      </c>
      <c r="C213" s="123">
        <v>1029500</v>
      </c>
      <c r="D213" s="123">
        <v>412</v>
      </c>
      <c r="E213" s="123">
        <v>341</v>
      </c>
      <c r="F213" s="123">
        <v>13</v>
      </c>
      <c r="G213" s="123"/>
      <c r="H213" s="269">
        <v>200</v>
      </c>
      <c r="I213" s="476">
        <v>80000000</v>
      </c>
      <c r="J213" s="476">
        <v>70015486</v>
      </c>
      <c r="K213" s="561">
        <v>69997881</v>
      </c>
      <c r="L213" s="518">
        <f t="shared" si="119"/>
        <v>87.519357499999998</v>
      </c>
      <c r="M213" s="518">
        <f t="shared" si="120"/>
        <v>100.02515076134948</v>
      </c>
    </row>
    <row r="214" spans="1:28" ht="37.5" hidden="1">
      <c r="A214" s="435"/>
      <c r="B214" s="452" t="s">
        <v>477</v>
      </c>
      <c r="C214" s="520"/>
      <c r="D214" s="520"/>
      <c r="E214" s="520"/>
      <c r="F214" s="520"/>
      <c r="G214" s="520"/>
      <c r="H214" s="521"/>
      <c r="I214" s="476">
        <v>90000000</v>
      </c>
      <c r="J214" s="476">
        <v>87518076</v>
      </c>
      <c r="K214" s="561">
        <v>99977090</v>
      </c>
      <c r="L214" s="518">
        <f t="shared" si="119"/>
        <v>97.242306666666664</v>
      </c>
      <c r="M214" s="518">
        <f t="shared" si="120"/>
        <v>87.538130985808849</v>
      </c>
    </row>
    <row r="215" spans="1:28" ht="18.75" hidden="1">
      <c r="A215" s="443"/>
      <c r="B215" s="452" t="s">
        <v>350</v>
      </c>
      <c r="C215" s="404"/>
      <c r="D215" s="404"/>
      <c r="E215" s="404"/>
      <c r="F215" s="404"/>
      <c r="G215" s="404"/>
      <c r="H215" s="517"/>
      <c r="I215" s="476">
        <v>10000000</v>
      </c>
      <c r="J215" s="476">
        <v>10000000</v>
      </c>
      <c r="K215" s="567">
        <v>10000000</v>
      </c>
      <c r="L215" s="518">
        <f t="shared" si="119"/>
        <v>100</v>
      </c>
      <c r="M215" s="519">
        <f t="shared" si="120"/>
        <v>100</v>
      </c>
    </row>
    <row r="216" spans="1:28" ht="37.5" hidden="1">
      <c r="A216" s="443"/>
      <c r="B216" s="452" t="s">
        <v>478</v>
      </c>
      <c r="C216" s="404"/>
      <c r="D216" s="404"/>
      <c r="E216" s="404"/>
      <c r="F216" s="404"/>
      <c r="G216" s="404"/>
      <c r="H216" s="517"/>
      <c r="I216" s="586">
        <f>130000000-50000000</f>
        <v>80000000</v>
      </c>
      <c r="J216" s="586">
        <v>64309002</v>
      </c>
      <c r="K216" s="567">
        <v>163000000</v>
      </c>
      <c r="L216" s="518">
        <f t="shared" si="119"/>
        <v>80.386252499999998</v>
      </c>
      <c r="M216" s="518">
        <f t="shared" si="120"/>
        <v>39.4533754601227</v>
      </c>
    </row>
    <row r="217" spans="1:28" ht="18.75" hidden="1">
      <c r="A217" s="443"/>
      <c r="B217" s="452" t="s">
        <v>480</v>
      </c>
      <c r="C217" s="520"/>
      <c r="D217" s="520"/>
      <c r="E217" s="520"/>
      <c r="F217" s="520"/>
      <c r="G217" s="520"/>
      <c r="H217" s="521"/>
      <c r="I217" s="489">
        <v>180000000</v>
      </c>
      <c r="J217" s="489">
        <v>175000000</v>
      </c>
      <c r="K217" s="567">
        <v>127071030</v>
      </c>
      <c r="L217" s="518">
        <f t="shared" si="119"/>
        <v>97.222222222222214</v>
      </c>
      <c r="M217" s="519">
        <f t="shared" si="120"/>
        <v>137.71825096562137</v>
      </c>
      <c r="O217" s="399"/>
    </row>
    <row r="218" spans="1:28" ht="19.5" hidden="1">
      <c r="A218" s="435"/>
      <c r="B218" s="452" t="s">
        <v>479</v>
      </c>
      <c r="C218" s="536">
        <v>1029500</v>
      </c>
      <c r="D218" s="536">
        <v>412</v>
      </c>
      <c r="E218" s="536">
        <v>341</v>
      </c>
      <c r="F218" s="536">
        <v>14</v>
      </c>
      <c r="G218" s="536"/>
      <c r="H218" s="537">
        <v>200</v>
      </c>
      <c r="I218" s="487">
        <v>50000000</v>
      </c>
      <c r="J218" s="476">
        <v>50000000</v>
      </c>
      <c r="K218" s="561">
        <v>31000000</v>
      </c>
      <c r="L218" s="518">
        <f t="shared" si="119"/>
        <v>100</v>
      </c>
      <c r="M218" s="518">
        <f t="shared" si="120"/>
        <v>161.29032258064515</v>
      </c>
    </row>
    <row r="219" spans="1:28" ht="19.5" hidden="1">
      <c r="A219" s="435"/>
      <c r="B219" s="452" t="s">
        <v>506</v>
      </c>
      <c r="C219" s="520"/>
      <c r="D219" s="520"/>
      <c r="E219" s="520"/>
      <c r="F219" s="520" t="s">
        <v>339</v>
      </c>
      <c r="G219" s="520"/>
      <c r="H219" s="521">
        <v>200</v>
      </c>
      <c r="I219" s="591"/>
      <c r="J219" s="587">
        <v>0</v>
      </c>
      <c r="K219" s="561">
        <v>793597700</v>
      </c>
      <c r="L219" s="519" t="e">
        <f t="shared" si="119"/>
        <v>#DIV/0!</v>
      </c>
      <c r="M219" s="519">
        <f t="shared" si="120"/>
        <v>0</v>
      </c>
    </row>
    <row r="220" spans="1:28" ht="19.5" hidden="1">
      <c r="A220" s="435"/>
      <c r="B220" s="452" t="s">
        <v>692</v>
      </c>
      <c r="C220" s="123">
        <v>1029500</v>
      </c>
      <c r="D220" s="123">
        <v>412</v>
      </c>
      <c r="E220" s="123">
        <v>341</v>
      </c>
      <c r="F220" s="123">
        <v>12</v>
      </c>
      <c r="G220" s="123"/>
      <c r="H220" s="269">
        <v>200</v>
      </c>
      <c r="I220" s="487"/>
      <c r="J220" s="472"/>
      <c r="K220" s="561">
        <v>30000000</v>
      </c>
      <c r="L220" s="519" t="e">
        <f t="shared" si="119"/>
        <v>#DIV/0!</v>
      </c>
      <c r="M220" s="519">
        <f t="shared" si="120"/>
        <v>0</v>
      </c>
    </row>
    <row r="221" spans="1:28" ht="37.5" hidden="1">
      <c r="A221" s="435" t="s">
        <v>313</v>
      </c>
      <c r="B221" s="438" t="s">
        <v>693</v>
      </c>
      <c r="C221" s="521"/>
      <c r="D221" s="521"/>
      <c r="E221" s="521"/>
      <c r="F221" s="521"/>
      <c r="G221" s="521"/>
      <c r="H221" s="521"/>
      <c r="I221" s="487">
        <v>112163000</v>
      </c>
      <c r="J221" s="472">
        <v>112163000</v>
      </c>
      <c r="K221" s="561"/>
      <c r="L221" s="518">
        <f t="shared" si="119"/>
        <v>100</v>
      </c>
      <c r="M221" s="519" t="e">
        <f t="shared" si="120"/>
        <v>#DIV/0!</v>
      </c>
    </row>
    <row r="222" spans="1:28" ht="37.5" hidden="1">
      <c r="A222" s="435" t="s">
        <v>314</v>
      </c>
      <c r="B222" s="438" t="s">
        <v>736</v>
      </c>
      <c r="C222" s="521"/>
      <c r="D222" s="521"/>
      <c r="E222" s="521"/>
      <c r="F222" s="521"/>
      <c r="G222" s="521"/>
      <c r="H222" s="521"/>
      <c r="I222" s="487">
        <v>267072000</v>
      </c>
      <c r="J222" s="487">
        <v>267072000</v>
      </c>
      <c r="K222" s="561"/>
      <c r="L222" s="518"/>
      <c r="M222" s="518"/>
    </row>
    <row r="223" spans="1:28" ht="37.5" hidden="1">
      <c r="A223" s="435" t="s">
        <v>315</v>
      </c>
      <c r="B223" s="438" t="s">
        <v>694</v>
      </c>
      <c r="C223" s="521"/>
      <c r="D223" s="521"/>
      <c r="E223" s="521"/>
      <c r="F223" s="521"/>
      <c r="G223" s="521"/>
      <c r="H223" s="521"/>
      <c r="I223" s="487">
        <v>0</v>
      </c>
      <c r="J223" s="472"/>
      <c r="K223" s="561">
        <v>85592442</v>
      </c>
      <c r="L223" s="519" t="e">
        <f t="shared" si="119"/>
        <v>#DIV/0!</v>
      </c>
      <c r="M223" s="519">
        <f t="shared" si="120"/>
        <v>0</v>
      </c>
    </row>
    <row r="224" spans="1:28" s="141" customFormat="1" ht="37.5" hidden="1">
      <c r="A224" s="435" t="s">
        <v>316</v>
      </c>
      <c r="B224" s="438" t="s">
        <v>695</v>
      </c>
      <c r="C224" s="520"/>
      <c r="D224" s="520"/>
      <c r="E224" s="520"/>
      <c r="F224" s="520"/>
      <c r="G224" s="520"/>
      <c r="H224" s="521"/>
      <c r="I224" s="487">
        <v>0</v>
      </c>
      <c r="J224" s="472"/>
      <c r="K224" s="561">
        <v>62086438</v>
      </c>
      <c r="L224" s="519" t="e">
        <f t="shared" si="119"/>
        <v>#DIV/0!</v>
      </c>
      <c r="M224" s="519">
        <f t="shared" si="120"/>
        <v>0</v>
      </c>
      <c r="R224" s="385"/>
      <c r="S224" s="385"/>
      <c r="AA224" s="128"/>
    </row>
    <row r="225" spans="1:27" s="141" customFormat="1" ht="37.5" hidden="1">
      <c r="A225" s="435" t="s">
        <v>317</v>
      </c>
      <c r="B225" s="438" t="s">
        <v>696</v>
      </c>
      <c r="C225" s="404"/>
      <c r="D225" s="404"/>
      <c r="E225" s="404"/>
      <c r="F225" s="404"/>
      <c r="G225" s="404"/>
      <c r="H225" s="517"/>
      <c r="I225" s="492">
        <v>0</v>
      </c>
      <c r="J225" s="472"/>
      <c r="K225" s="561">
        <v>130317000</v>
      </c>
      <c r="L225" s="519" t="e">
        <f t="shared" si="119"/>
        <v>#DIV/0!</v>
      </c>
      <c r="M225" s="519">
        <f t="shared" si="120"/>
        <v>0</v>
      </c>
      <c r="R225" s="385"/>
      <c r="S225" s="385"/>
      <c r="AA225" s="128"/>
    </row>
    <row r="226" spans="1:27" s="141" customFormat="1" ht="56.25" hidden="1">
      <c r="A226" s="435" t="s">
        <v>318</v>
      </c>
      <c r="B226" s="610" t="s">
        <v>743</v>
      </c>
      <c r="C226" s="404"/>
      <c r="D226" s="404"/>
      <c r="E226" s="404"/>
      <c r="F226" s="404"/>
      <c r="G226" s="404"/>
      <c r="H226" s="517"/>
      <c r="I226" s="611">
        <v>8858276</v>
      </c>
      <c r="J226" s="611"/>
      <c r="K226" s="611"/>
      <c r="L226" s="519"/>
      <c r="M226" s="519"/>
      <c r="R226" s="385"/>
      <c r="S226" s="385"/>
      <c r="AA226" s="128"/>
    </row>
    <row r="227" spans="1:27" s="141" customFormat="1" ht="19.5" hidden="1">
      <c r="A227" s="435" t="s">
        <v>775</v>
      </c>
      <c r="B227" s="440" t="s">
        <v>70</v>
      </c>
      <c r="C227" s="520"/>
      <c r="D227" s="520"/>
      <c r="E227" s="520"/>
      <c r="F227" s="520"/>
      <c r="G227" s="520"/>
      <c r="H227" s="521"/>
      <c r="I227" s="470">
        <f t="shared" ref="I227:K227" si="140">+I228</f>
        <v>0</v>
      </c>
      <c r="J227" s="470">
        <f t="shared" si="140"/>
        <v>0</v>
      </c>
      <c r="K227" s="556">
        <f t="shared" si="140"/>
        <v>33000000</v>
      </c>
      <c r="L227" s="519" t="e">
        <f t="shared" si="119"/>
        <v>#DIV/0!</v>
      </c>
      <c r="M227" s="519">
        <f t="shared" si="120"/>
        <v>0</v>
      </c>
      <c r="R227" s="385"/>
      <c r="S227" s="385"/>
      <c r="AA227" s="128"/>
    </row>
    <row r="228" spans="1:27" s="141" customFormat="1" ht="37.5" hidden="1">
      <c r="A228" s="435"/>
      <c r="B228" s="438" t="s">
        <v>88</v>
      </c>
      <c r="C228" s="404"/>
      <c r="D228" s="404"/>
      <c r="E228" s="404"/>
      <c r="F228" s="404"/>
      <c r="G228" s="404"/>
      <c r="H228" s="517"/>
      <c r="I228" s="485">
        <v>0</v>
      </c>
      <c r="J228" s="472"/>
      <c r="K228" s="561">
        <v>33000000</v>
      </c>
      <c r="L228" s="519" t="e">
        <f t="shared" si="119"/>
        <v>#DIV/0!</v>
      </c>
      <c r="M228" s="519">
        <f t="shared" si="120"/>
        <v>0</v>
      </c>
      <c r="R228" s="385"/>
      <c r="S228" s="385"/>
      <c r="AA228" s="128"/>
    </row>
    <row r="229" spans="1:27" s="141" customFormat="1" ht="19.5" hidden="1">
      <c r="A229" s="435" t="s">
        <v>776</v>
      </c>
      <c r="B229" s="612" t="s">
        <v>685</v>
      </c>
      <c r="C229" s="404"/>
      <c r="D229" s="404"/>
      <c r="E229" s="404"/>
      <c r="F229" s="404"/>
      <c r="G229" s="404"/>
      <c r="H229" s="517"/>
      <c r="I229" s="485">
        <f>SUM(I230:I231)</f>
        <v>257500000</v>
      </c>
      <c r="J229" s="485">
        <f t="shared" ref="J229:K229" si="141">SUM(J230:J231)</f>
        <v>162630000</v>
      </c>
      <c r="K229" s="485">
        <f t="shared" si="141"/>
        <v>0</v>
      </c>
      <c r="L229" s="519"/>
      <c r="M229" s="519"/>
      <c r="R229" s="385"/>
      <c r="S229" s="385"/>
      <c r="AA229" s="128"/>
    </row>
    <row r="230" spans="1:27" s="141" customFormat="1" ht="36" hidden="1">
      <c r="A230" s="435"/>
      <c r="B230" s="613" t="s">
        <v>744</v>
      </c>
      <c r="C230" s="404"/>
      <c r="D230" s="404"/>
      <c r="E230" s="404"/>
      <c r="F230" s="404"/>
      <c r="G230" s="404"/>
      <c r="H230" s="517"/>
      <c r="I230" s="687">
        <v>243500000</v>
      </c>
      <c r="J230" s="687">
        <v>162630000</v>
      </c>
      <c r="K230" s="655"/>
      <c r="L230" s="519"/>
      <c r="M230" s="519"/>
      <c r="R230" s="385"/>
      <c r="S230" s="385"/>
      <c r="AA230" s="128"/>
    </row>
    <row r="231" spans="1:27" s="141" customFormat="1" ht="19.5" hidden="1">
      <c r="A231" s="435"/>
      <c r="B231" s="626" t="s">
        <v>749</v>
      </c>
      <c r="C231" s="404"/>
      <c r="D231" s="404"/>
      <c r="E231" s="404"/>
      <c r="F231" s="404"/>
      <c r="G231" s="404"/>
      <c r="H231" s="517"/>
      <c r="I231" s="687">
        <v>14000000</v>
      </c>
      <c r="J231" s="687"/>
      <c r="K231" s="655"/>
      <c r="L231" s="519"/>
      <c r="M231" s="519"/>
      <c r="R231" s="385"/>
      <c r="S231" s="385"/>
      <c r="AA231" s="128"/>
    </row>
    <row r="232" spans="1:27" s="141" customFormat="1" ht="19.5" hidden="1">
      <c r="A232" s="435" t="s">
        <v>777</v>
      </c>
      <c r="B232" s="698" t="s">
        <v>773</v>
      </c>
      <c r="C232" s="404"/>
      <c r="D232" s="404"/>
      <c r="E232" s="404"/>
      <c r="F232" s="404"/>
      <c r="G232" s="404"/>
      <c r="H232" s="517"/>
      <c r="I232" s="614">
        <f>+I233</f>
        <v>272740000</v>
      </c>
      <c r="J232" s="614">
        <f t="shared" ref="J232:K232" si="142">+J233</f>
        <v>272685000</v>
      </c>
      <c r="K232" s="614">
        <f t="shared" si="142"/>
        <v>0</v>
      </c>
      <c r="L232" s="519"/>
      <c r="M232" s="519"/>
      <c r="R232" s="385"/>
      <c r="S232" s="385"/>
      <c r="AA232" s="128"/>
    </row>
    <row r="233" spans="1:27" s="141" customFormat="1" ht="33" hidden="1">
      <c r="A233" s="435"/>
      <c r="B233" s="692" t="s">
        <v>774</v>
      </c>
      <c r="C233" s="404"/>
      <c r="D233" s="404"/>
      <c r="E233" s="404"/>
      <c r="F233" s="404"/>
      <c r="G233" s="404"/>
      <c r="H233" s="517"/>
      <c r="I233" s="687">
        <v>272740000</v>
      </c>
      <c r="J233" s="720">
        <v>272685000</v>
      </c>
      <c r="K233" s="561"/>
      <c r="L233" s="519"/>
      <c r="M233" s="519"/>
      <c r="R233" s="385"/>
      <c r="S233" s="385"/>
      <c r="AA233" s="128"/>
    </row>
    <row r="234" spans="1:27" s="141" customFormat="1" ht="19.5" hidden="1">
      <c r="A234" s="435">
        <v>2</v>
      </c>
      <c r="B234" s="421" t="s">
        <v>537</v>
      </c>
      <c r="C234" s="404"/>
      <c r="D234" s="404"/>
      <c r="E234" s="404"/>
      <c r="F234" s="404"/>
      <c r="G234" s="404"/>
      <c r="H234" s="517"/>
      <c r="I234" s="475">
        <f t="shared" ref="I234:K234" si="143">SUM(I235:I237)</f>
        <v>59500000</v>
      </c>
      <c r="J234" s="475">
        <f t="shared" si="143"/>
        <v>59500000</v>
      </c>
      <c r="K234" s="553">
        <f t="shared" si="143"/>
        <v>58100000</v>
      </c>
      <c r="L234" s="518">
        <f t="shared" si="119"/>
        <v>100</v>
      </c>
      <c r="M234" s="518">
        <f t="shared" si="120"/>
        <v>102.40963855421687</v>
      </c>
      <c r="R234" s="385"/>
      <c r="S234" s="385"/>
      <c r="AA234" s="128"/>
    </row>
    <row r="235" spans="1:27" s="141" customFormat="1" ht="19.5" hidden="1">
      <c r="A235" s="435"/>
      <c r="B235" s="439" t="s">
        <v>543</v>
      </c>
      <c r="C235" s="404"/>
      <c r="D235" s="404"/>
      <c r="E235" s="404"/>
      <c r="F235" s="404"/>
      <c r="G235" s="404"/>
      <c r="H235" s="517"/>
      <c r="I235" s="487">
        <v>50400000</v>
      </c>
      <c r="J235" s="472">
        <v>50400000</v>
      </c>
      <c r="K235" s="561">
        <v>49000000</v>
      </c>
      <c r="L235" s="518">
        <f t="shared" si="119"/>
        <v>100</v>
      </c>
      <c r="M235" s="518">
        <f t="shared" si="120"/>
        <v>102.85714285714285</v>
      </c>
      <c r="R235" s="385"/>
      <c r="S235" s="385"/>
      <c r="AA235" s="128"/>
    </row>
    <row r="236" spans="1:27" s="268" customFormat="1" ht="37.5" hidden="1">
      <c r="A236" s="435"/>
      <c r="B236" s="439" t="s">
        <v>544</v>
      </c>
      <c r="C236" s="404"/>
      <c r="D236" s="404"/>
      <c r="E236" s="404"/>
      <c r="F236" s="404"/>
      <c r="G236" s="404"/>
      <c r="H236" s="517"/>
      <c r="I236" s="476">
        <v>7000000</v>
      </c>
      <c r="J236" s="472">
        <v>7000000</v>
      </c>
      <c r="K236" s="561">
        <v>7000000</v>
      </c>
      <c r="L236" s="518">
        <f t="shared" si="119"/>
        <v>100</v>
      </c>
      <c r="M236" s="518">
        <f t="shared" si="120"/>
        <v>100</v>
      </c>
      <c r="R236" s="389"/>
      <c r="S236" s="389"/>
      <c r="AA236" s="128"/>
    </row>
    <row r="237" spans="1:27" s="268" customFormat="1" ht="37.5" hidden="1">
      <c r="A237" s="435"/>
      <c r="B237" s="439" t="s">
        <v>545</v>
      </c>
      <c r="C237" s="404"/>
      <c r="D237" s="404"/>
      <c r="E237" s="404"/>
      <c r="F237" s="404"/>
      <c r="G237" s="404"/>
      <c r="H237" s="517"/>
      <c r="I237" s="476">
        <v>2100000</v>
      </c>
      <c r="J237" s="472">
        <v>2100000</v>
      </c>
      <c r="K237" s="561">
        <v>2100000</v>
      </c>
      <c r="L237" s="518">
        <f t="shared" si="119"/>
        <v>100</v>
      </c>
      <c r="M237" s="518">
        <f t="shared" si="120"/>
        <v>100</v>
      </c>
      <c r="R237" s="389"/>
      <c r="S237" s="389"/>
      <c r="AA237" s="128"/>
    </row>
    <row r="238" spans="1:27" s="268" customFormat="1" ht="18.75" hidden="1">
      <c r="A238" s="428">
        <v>3</v>
      </c>
      <c r="B238" s="429" t="s">
        <v>85</v>
      </c>
      <c r="C238" s="404"/>
      <c r="D238" s="404"/>
      <c r="E238" s="404"/>
      <c r="F238" s="404"/>
      <c r="G238" s="404"/>
      <c r="H238" s="517"/>
      <c r="I238" s="470">
        <f>+I239+I250</f>
        <v>3996023671</v>
      </c>
      <c r="J238" s="470">
        <f t="shared" ref="J238:K238" si="144">+J239+J250</f>
        <v>3975133133</v>
      </c>
      <c r="K238" s="470">
        <f t="shared" si="144"/>
        <v>4722332715</v>
      </c>
      <c r="L238" s="518">
        <f t="shared" si="119"/>
        <v>99.477216860560475</v>
      </c>
      <c r="M238" s="518">
        <f t="shared" si="120"/>
        <v>84.177320254741943</v>
      </c>
      <c r="R238" s="389"/>
      <c r="S238" s="389"/>
      <c r="AA238" s="128"/>
    </row>
    <row r="239" spans="1:27" s="268" customFormat="1" ht="19.5" hidden="1">
      <c r="A239" s="435" t="s">
        <v>623</v>
      </c>
      <c r="B239" s="436" t="s">
        <v>7</v>
      </c>
      <c r="C239" s="404"/>
      <c r="D239" s="404"/>
      <c r="E239" s="404"/>
      <c r="F239" s="404"/>
      <c r="G239" s="404"/>
      <c r="H239" s="517"/>
      <c r="I239" s="485">
        <f>+I240+I248</f>
        <v>2216071231</v>
      </c>
      <c r="J239" s="485">
        <f t="shared" ref="J239:K239" si="145">+J240+J248</f>
        <v>2211071231</v>
      </c>
      <c r="K239" s="485">
        <f t="shared" si="145"/>
        <v>2019919769</v>
      </c>
      <c r="L239" s="518">
        <f t="shared" si="119"/>
        <v>99.774375483510795</v>
      </c>
      <c r="M239" s="518">
        <f t="shared" si="120"/>
        <v>109.46331953048973</v>
      </c>
      <c r="R239" s="389"/>
      <c r="S239" s="389"/>
      <c r="AA239" s="129"/>
    </row>
    <row r="240" spans="1:27" ht="18.75" hidden="1">
      <c r="A240" s="428" t="s">
        <v>14</v>
      </c>
      <c r="B240" s="421" t="s">
        <v>67</v>
      </c>
      <c r="C240" s="123">
        <v>1029500</v>
      </c>
      <c r="D240" s="123">
        <v>412</v>
      </c>
      <c r="E240" s="123">
        <v>280</v>
      </c>
      <c r="F240" s="123"/>
      <c r="G240" s="123"/>
      <c r="H240" s="269"/>
      <c r="I240" s="486">
        <f>+I241+I247</f>
        <v>2216071231</v>
      </c>
      <c r="J240" s="486">
        <f t="shared" ref="J240:K240" si="146">+J241+J247</f>
        <v>2211071231</v>
      </c>
      <c r="K240" s="486">
        <f t="shared" si="146"/>
        <v>1899000000</v>
      </c>
      <c r="L240" s="518">
        <f t="shared" si="119"/>
        <v>99.774375483510795</v>
      </c>
      <c r="M240" s="518">
        <f t="shared" si="120"/>
        <v>116.43345081621905</v>
      </c>
      <c r="AA240" s="129"/>
    </row>
    <row r="241" spans="1:19" ht="18.75" hidden="1">
      <c r="A241" s="437"/>
      <c r="B241" s="438" t="s">
        <v>71</v>
      </c>
      <c r="C241" s="123"/>
      <c r="D241" s="123"/>
      <c r="E241" s="123"/>
      <c r="F241" s="123"/>
      <c r="G241" s="123"/>
      <c r="H241" s="269"/>
      <c r="I241" s="487">
        <f>SUM(I242:I246)</f>
        <v>2216071231</v>
      </c>
      <c r="J241" s="487">
        <f t="shared" ref="J241:K241" si="147">SUM(J242:J246)</f>
        <v>2211071231</v>
      </c>
      <c r="K241" s="487">
        <f t="shared" si="147"/>
        <v>1741000000</v>
      </c>
      <c r="L241" s="518">
        <f t="shared" si="119"/>
        <v>99.774375483510795</v>
      </c>
      <c r="M241" s="518">
        <f t="shared" si="120"/>
        <v>127.00007070649053</v>
      </c>
    </row>
    <row r="242" spans="1:19" ht="18.75" hidden="1">
      <c r="A242" s="428"/>
      <c r="B242" s="439" t="s">
        <v>38</v>
      </c>
      <c r="C242" s="123">
        <v>1029500</v>
      </c>
      <c r="D242" s="123">
        <v>412</v>
      </c>
      <c r="E242" s="123">
        <v>281</v>
      </c>
      <c r="F242" s="123">
        <v>13</v>
      </c>
      <c r="G242" s="123"/>
      <c r="H242" s="269">
        <v>200</v>
      </c>
      <c r="I242" s="591">
        <f>1361000000</f>
        <v>1361000000</v>
      </c>
      <c r="J242" s="591">
        <f>1361000000</f>
        <v>1361000000</v>
      </c>
      <c r="K242" s="561">
        <v>1388000000</v>
      </c>
      <c r="L242" s="518">
        <f t="shared" si="119"/>
        <v>100</v>
      </c>
      <c r="M242" s="518">
        <f t="shared" si="120"/>
        <v>98.054755043227672</v>
      </c>
    </row>
    <row r="243" spans="1:19" ht="37.5" hidden="1">
      <c r="A243" s="428"/>
      <c r="B243" s="438" t="s">
        <v>763</v>
      </c>
      <c r="C243" s="625"/>
      <c r="D243" s="625"/>
      <c r="E243" s="625"/>
      <c r="F243" s="625"/>
      <c r="G243" s="625"/>
      <c r="H243" s="624"/>
      <c r="I243" s="703">
        <v>283000000</v>
      </c>
      <c r="J243" s="703">
        <v>283000000</v>
      </c>
      <c r="K243" s="561"/>
      <c r="L243" s="518"/>
      <c r="M243" s="518"/>
    </row>
    <row r="244" spans="1:19" ht="56.25" hidden="1">
      <c r="A244" s="428"/>
      <c r="B244" s="659" t="s">
        <v>759</v>
      </c>
      <c r="C244" s="625"/>
      <c r="D244" s="625"/>
      <c r="E244" s="625"/>
      <c r="F244" s="625"/>
      <c r="G244" s="625"/>
      <c r="H244" s="624"/>
      <c r="I244" s="703">
        <v>9230231</v>
      </c>
      <c r="J244" s="703">
        <v>9230231</v>
      </c>
      <c r="K244" s="561"/>
      <c r="L244" s="518"/>
      <c r="M244" s="518"/>
    </row>
    <row r="245" spans="1:19" ht="31.5" hidden="1">
      <c r="A245" s="428"/>
      <c r="B245" s="608" t="s">
        <v>745</v>
      </c>
      <c r="C245" s="606"/>
      <c r="D245" s="606"/>
      <c r="E245" s="606"/>
      <c r="F245" s="606"/>
      <c r="G245" s="606"/>
      <c r="H245" s="605"/>
      <c r="I245" s="609">
        <f>219841000</f>
        <v>219841000</v>
      </c>
      <c r="J245" s="609">
        <f>219841000</f>
        <v>219841000</v>
      </c>
      <c r="K245" s="561"/>
      <c r="L245" s="518"/>
      <c r="M245" s="518"/>
    </row>
    <row r="246" spans="1:19" ht="18.75" hidden="1">
      <c r="A246" s="428"/>
      <c r="B246" s="439" t="s">
        <v>10</v>
      </c>
      <c r="C246" s="520"/>
      <c r="D246" s="520"/>
      <c r="E246" s="520"/>
      <c r="F246" s="520"/>
      <c r="G246" s="520"/>
      <c r="H246" s="521"/>
      <c r="I246" s="487">
        <v>343000000</v>
      </c>
      <c r="J246" s="487">
        <v>338000000</v>
      </c>
      <c r="K246" s="561">
        <v>353000000</v>
      </c>
      <c r="L246" s="518">
        <f t="shared" si="119"/>
        <v>98.542274052478135</v>
      </c>
      <c r="M246" s="518">
        <f t="shared" si="120"/>
        <v>95.75070821529745</v>
      </c>
    </row>
    <row r="247" spans="1:19" ht="37.5" hidden="1">
      <c r="A247" s="428"/>
      <c r="B247" s="439" t="s">
        <v>87</v>
      </c>
      <c r="C247" s="404"/>
      <c r="D247" s="404"/>
      <c r="E247" s="404"/>
      <c r="F247" s="404"/>
      <c r="G247" s="404"/>
      <c r="H247" s="517"/>
      <c r="I247" s="489">
        <v>0</v>
      </c>
      <c r="J247" s="472"/>
      <c r="K247" s="561">
        <v>158000000</v>
      </c>
      <c r="L247" s="519" t="e">
        <f t="shared" si="119"/>
        <v>#DIV/0!</v>
      </c>
      <c r="M247" s="519">
        <f t="shared" si="120"/>
        <v>0</v>
      </c>
    </row>
    <row r="248" spans="1:19" ht="19.5" hidden="1" thickBot="1">
      <c r="A248" s="428" t="s">
        <v>15</v>
      </c>
      <c r="B248" s="440" t="s">
        <v>69</v>
      </c>
      <c r="C248" s="404"/>
      <c r="D248" s="404"/>
      <c r="E248" s="404"/>
      <c r="F248" s="404"/>
      <c r="G248" s="404"/>
      <c r="H248" s="517"/>
      <c r="I248" s="470">
        <f t="shared" ref="I248:K248" si="148">I249</f>
        <v>0</v>
      </c>
      <c r="J248" s="470">
        <f t="shared" si="148"/>
        <v>0</v>
      </c>
      <c r="K248" s="556">
        <f t="shared" si="148"/>
        <v>120919769</v>
      </c>
      <c r="L248" s="519" t="e">
        <f t="shared" si="119"/>
        <v>#DIV/0!</v>
      </c>
      <c r="M248" s="519">
        <f t="shared" si="120"/>
        <v>0</v>
      </c>
    </row>
    <row r="249" spans="1:19" ht="38.25" hidden="1" thickBot="1">
      <c r="A249" s="428"/>
      <c r="B249" s="438" t="s">
        <v>516</v>
      </c>
      <c r="C249" s="123">
        <v>1029500</v>
      </c>
      <c r="D249" s="123">
        <v>412</v>
      </c>
      <c r="E249" s="123">
        <v>281</v>
      </c>
      <c r="F249" s="123">
        <v>14</v>
      </c>
      <c r="G249" s="123"/>
      <c r="H249" s="269">
        <v>200</v>
      </c>
      <c r="I249" s="590">
        <f>292230231-283000000-9230231</f>
        <v>0</v>
      </c>
      <c r="J249" s="588"/>
      <c r="K249" s="561">
        <v>120919769</v>
      </c>
      <c r="L249" s="519" t="e">
        <f t="shared" si="119"/>
        <v>#DIV/0!</v>
      </c>
      <c r="M249" s="519">
        <f t="shared" si="120"/>
        <v>0</v>
      </c>
    </row>
    <row r="250" spans="1:19" s="603" customFormat="1" ht="19.5" hidden="1">
      <c r="A250" s="596" t="s">
        <v>624</v>
      </c>
      <c r="B250" s="684" t="s">
        <v>608</v>
      </c>
      <c r="C250" s="630"/>
      <c r="D250" s="630"/>
      <c r="E250" s="630"/>
      <c r="F250" s="630"/>
      <c r="G250" s="630"/>
      <c r="H250" s="631"/>
      <c r="I250" s="683">
        <f>+I251+I260</f>
        <v>1779952440</v>
      </c>
      <c r="J250" s="683">
        <f t="shared" ref="J250:K250" si="149">+J251+J260</f>
        <v>1764061902</v>
      </c>
      <c r="K250" s="683">
        <f t="shared" si="149"/>
        <v>2702412946</v>
      </c>
      <c r="L250" s="634"/>
      <c r="M250" s="634"/>
      <c r="R250" s="604"/>
      <c r="S250" s="604"/>
    </row>
    <row r="251" spans="1:19" ht="19.5" hidden="1">
      <c r="A251" s="435" t="s">
        <v>778</v>
      </c>
      <c r="B251" s="436" t="s">
        <v>771</v>
      </c>
      <c r="C251" s="520"/>
      <c r="D251" s="520"/>
      <c r="E251" s="520"/>
      <c r="F251" s="520" t="s">
        <v>339</v>
      </c>
      <c r="G251" s="520"/>
      <c r="H251" s="521">
        <v>200</v>
      </c>
      <c r="I251" s="485">
        <f>SUM(I252:I259)</f>
        <v>1718687440</v>
      </c>
      <c r="J251" s="485">
        <f t="shared" ref="J251:K251" si="150">SUM(J252:J259)</f>
        <v>1717686902</v>
      </c>
      <c r="K251" s="485">
        <f t="shared" si="150"/>
        <v>2702412946</v>
      </c>
      <c r="L251" s="518">
        <f t="shared" si="119"/>
        <v>99.941784761049973</v>
      </c>
      <c r="M251" s="518">
        <f t="shared" si="120"/>
        <v>63.561229772172645</v>
      </c>
    </row>
    <row r="252" spans="1:19" ht="18.75" hidden="1">
      <c r="A252" s="437" t="s">
        <v>14</v>
      </c>
      <c r="B252" s="424" t="s">
        <v>78</v>
      </c>
      <c r="C252" s="123">
        <v>1029500</v>
      </c>
      <c r="D252" s="123">
        <v>412</v>
      </c>
      <c r="E252" s="123">
        <v>281</v>
      </c>
      <c r="F252" s="123">
        <v>12</v>
      </c>
      <c r="G252" s="123"/>
      <c r="H252" s="269">
        <v>200</v>
      </c>
      <c r="I252" s="489">
        <v>471000000</v>
      </c>
      <c r="J252" s="472">
        <v>469999462</v>
      </c>
      <c r="K252" s="561">
        <v>330000000</v>
      </c>
      <c r="L252" s="519">
        <f t="shared" si="119"/>
        <v>99.78757154989384</v>
      </c>
      <c r="M252" s="519">
        <f t="shared" si="120"/>
        <v>142.42407939393939</v>
      </c>
    </row>
    <row r="253" spans="1:19" ht="18.75" hidden="1">
      <c r="A253" s="437" t="s">
        <v>15</v>
      </c>
      <c r="B253" s="424" t="s">
        <v>79</v>
      </c>
      <c r="C253" s="520"/>
      <c r="D253" s="520"/>
      <c r="E253" s="520"/>
      <c r="F253" s="520"/>
      <c r="G253" s="520"/>
      <c r="H253" s="521"/>
      <c r="I253" s="474">
        <v>150000000</v>
      </c>
      <c r="J253" s="474">
        <v>150000000</v>
      </c>
      <c r="K253" s="561">
        <v>149950389</v>
      </c>
      <c r="L253" s="518">
        <f t="shared" ref="L253:L337" si="151">+J253/I253*100</f>
        <v>100</v>
      </c>
      <c r="M253" s="518">
        <f t="shared" ref="M253:M337" si="152">+J253/K253*100</f>
        <v>100.03308494251388</v>
      </c>
    </row>
    <row r="254" spans="1:19" ht="37.5" hidden="1">
      <c r="A254" s="437" t="s">
        <v>24</v>
      </c>
      <c r="B254" s="424" t="s">
        <v>80</v>
      </c>
      <c r="C254" s="520"/>
      <c r="D254" s="520"/>
      <c r="E254" s="520"/>
      <c r="F254" s="520"/>
      <c r="G254" s="520"/>
      <c r="H254" s="521"/>
      <c r="I254" s="473">
        <v>120000000</v>
      </c>
      <c r="J254" s="473">
        <v>120000000</v>
      </c>
      <c r="K254" s="561">
        <v>100000000</v>
      </c>
      <c r="L254" s="518">
        <f t="shared" si="151"/>
        <v>100</v>
      </c>
      <c r="M254" s="518">
        <f t="shared" si="152"/>
        <v>120</v>
      </c>
    </row>
    <row r="255" spans="1:19" ht="18.75" hidden="1">
      <c r="A255" s="437" t="s">
        <v>313</v>
      </c>
      <c r="B255" s="424" t="s">
        <v>81</v>
      </c>
      <c r="C255" s="520"/>
      <c r="D255" s="520"/>
      <c r="E255" s="520"/>
      <c r="F255" s="520"/>
      <c r="G255" s="520"/>
      <c r="H255" s="521"/>
      <c r="I255" s="473">
        <v>500000000</v>
      </c>
      <c r="J255" s="473">
        <v>500000000</v>
      </c>
      <c r="K255" s="561">
        <v>499999997</v>
      </c>
      <c r="L255" s="518">
        <f t="shared" si="151"/>
        <v>100</v>
      </c>
      <c r="M255" s="518">
        <f t="shared" si="152"/>
        <v>100.00000060000001</v>
      </c>
    </row>
    <row r="256" spans="1:19" ht="18.75" hidden="1">
      <c r="A256" s="437" t="s">
        <v>314</v>
      </c>
      <c r="B256" s="424" t="s">
        <v>82</v>
      </c>
      <c r="C256" s="520"/>
      <c r="D256" s="520"/>
      <c r="E256" s="520"/>
      <c r="F256" s="520"/>
      <c r="G256" s="520"/>
      <c r="H256" s="521"/>
      <c r="I256" s="587">
        <f>427000000-49312560</f>
        <v>377687440</v>
      </c>
      <c r="J256" s="587">
        <f>427000000-49312560</f>
        <v>377687440</v>
      </c>
      <c r="K256" s="561">
        <v>398142400</v>
      </c>
      <c r="L256" s="519">
        <f t="shared" si="151"/>
        <v>100</v>
      </c>
      <c r="M256" s="519">
        <f t="shared" si="152"/>
        <v>94.862400990198481</v>
      </c>
    </row>
    <row r="257" spans="1:29" ht="18.75" hidden="1">
      <c r="A257" s="437" t="s">
        <v>315</v>
      </c>
      <c r="B257" s="424" t="s">
        <v>83</v>
      </c>
      <c r="C257" s="520"/>
      <c r="D257" s="520"/>
      <c r="E257" s="520"/>
      <c r="F257" s="520"/>
      <c r="G257" s="520"/>
      <c r="H257" s="521"/>
      <c r="I257" s="487">
        <v>100000000</v>
      </c>
      <c r="J257" s="487">
        <v>100000000</v>
      </c>
      <c r="K257" s="561">
        <v>99943560</v>
      </c>
      <c r="L257" s="518">
        <f t="shared" si="151"/>
        <v>100</v>
      </c>
      <c r="M257" s="518">
        <f t="shared" si="152"/>
        <v>100.05647187272497</v>
      </c>
    </row>
    <row r="258" spans="1:29" ht="60" hidden="1" customHeight="1">
      <c r="A258" s="437" t="s">
        <v>316</v>
      </c>
      <c r="B258" s="424" t="s">
        <v>697</v>
      </c>
      <c r="C258" s="520"/>
      <c r="D258" s="520"/>
      <c r="E258" s="520"/>
      <c r="F258" s="520"/>
      <c r="G258" s="520"/>
      <c r="H258" s="521"/>
      <c r="I258" s="486"/>
      <c r="J258" s="472"/>
      <c r="K258" s="561">
        <v>1124376600</v>
      </c>
      <c r="L258" s="519" t="e">
        <f t="shared" si="151"/>
        <v>#DIV/0!</v>
      </c>
      <c r="M258" s="519">
        <f t="shared" si="152"/>
        <v>0</v>
      </c>
    </row>
    <row r="259" spans="1:29" ht="17.25" hidden="1" customHeight="1">
      <c r="A259" s="437" t="s">
        <v>317</v>
      </c>
      <c r="B259" s="424" t="s">
        <v>698</v>
      </c>
      <c r="C259" s="520"/>
      <c r="D259" s="520"/>
      <c r="E259" s="520"/>
      <c r="F259" s="520"/>
      <c r="G259" s="520"/>
      <c r="H259" s="521"/>
      <c r="I259" s="487"/>
      <c r="J259" s="472"/>
      <c r="K259" s="561"/>
      <c r="L259" s="519" t="e">
        <f t="shared" si="151"/>
        <v>#DIV/0!</v>
      </c>
      <c r="M259" s="519" t="e">
        <f t="shared" si="152"/>
        <v>#DIV/0!</v>
      </c>
    </row>
    <row r="260" spans="1:29" s="603" customFormat="1" ht="17.25" hidden="1" customHeight="1">
      <c r="A260" s="607" t="s">
        <v>780</v>
      </c>
      <c r="B260" s="629" t="s">
        <v>779</v>
      </c>
      <c r="C260" s="686"/>
      <c r="D260" s="686"/>
      <c r="E260" s="686"/>
      <c r="F260" s="686"/>
      <c r="G260" s="686"/>
      <c r="H260" s="685"/>
      <c r="I260" s="632">
        <f>+I261</f>
        <v>61265000</v>
      </c>
      <c r="J260" s="632">
        <f t="shared" ref="J260:K260" si="153">+J261</f>
        <v>46375000</v>
      </c>
      <c r="K260" s="632">
        <f t="shared" si="153"/>
        <v>0</v>
      </c>
      <c r="L260" s="634"/>
      <c r="M260" s="634"/>
      <c r="R260" s="604"/>
      <c r="S260" s="604"/>
    </row>
    <row r="261" spans="1:29" ht="33" hidden="1">
      <c r="A261" s="437"/>
      <c r="B261" s="705" t="s">
        <v>774</v>
      </c>
      <c r="C261" s="520"/>
      <c r="D261" s="520"/>
      <c r="E261" s="520"/>
      <c r="F261" s="520"/>
      <c r="G261" s="520"/>
      <c r="H261" s="521"/>
      <c r="I261" s="682">
        <v>61265000</v>
      </c>
      <c r="J261" s="472">
        <v>46375000</v>
      </c>
      <c r="K261" s="561"/>
      <c r="L261" s="519"/>
      <c r="M261" s="519"/>
    </row>
    <row r="262" spans="1:29" ht="23.25" hidden="1" customHeight="1">
      <c r="A262" s="433" t="s">
        <v>101</v>
      </c>
      <c r="B262" s="434" t="s">
        <v>305</v>
      </c>
      <c r="C262" s="404"/>
      <c r="D262" s="404"/>
      <c r="E262" s="404"/>
      <c r="F262" s="404"/>
      <c r="G262" s="404"/>
      <c r="H262" s="517"/>
      <c r="I262" s="484">
        <f>+I263+I292+I295+I325</f>
        <v>10446723269</v>
      </c>
      <c r="J262" s="484">
        <f t="shared" ref="J262:K262" si="154">+J263+J292+J295+J325</f>
        <v>10026207008</v>
      </c>
      <c r="K262" s="484">
        <f t="shared" si="154"/>
        <v>8751471252</v>
      </c>
      <c r="L262" s="518">
        <f t="shared" si="151"/>
        <v>95.974658750195331</v>
      </c>
      <c r="M262" s="518">
        <f t="shared" si="152"/>
        <v>114.56595947462756</v>
      </c>
      <c r="AA262" s="129">
        <v>10381723269</v>
      </c>
      <c r="AB262" s="129">
        <f>+J262+J527</f>
        <v>10033461523</v>
      </c>
      <c r="AC262" s="129"/>
    </row>
    <row r="263" spans="1:29" ht="18.75" hidden="1">
      <c r="A263" s="428">
        <v>1</v>
      </c>
      <c r="B263" s="429" t="s">
        <v>6</v>
      </c>
      <c r="C263" s="520"/>
      <c r="D263" s="520"/>
      <c r="E263" s="520"/>
      <c r="F263" s="520"/>
      <c r="G263" s="520"/>
      <c r="H263" s="521"/>
      <c r="I263" s="470">
        <f>+I264+I275</f>
        <v>3061347120</v>
      </c>
      <c r="J263" s="470">
        <f t="shared" ref="J263:K263" si="155">+J264+J275</f>
        <v>2990741182</v>
      </c>
      <c r="K263" s="470">
        <f t="shared" si="155"/>
        <v>2584674307</v>
      </c>
      <c r="L263" s="518">
        <f t="shared" si="151"/>
        <v>97.693631749933672</v>
      </c>
      <c r="M263" s="518">
        <f t="shared" si="152"/>
        <v>115.71056259971559</v>
      </c>
    </row>
    <row r="264" spans="1:29" s="141" customFormat="1" ht="19.5" hidden="1">
      <c r="A264" s="435" t="s">
        <v>8</v>
      </c>
      <c r="B264" s="436" t="s">
        <v>7</v>
      </c>
      <c r="C264" s="404"/>
      <c r="D264" s="404"/>
      <c r="E264" s="404"/>
      <c r="F264" s="404"/>
      <c r="G264" s="404"/>
      <c r="H264" s="517"/>
      <c r="I264" s="485">
        <f>+I265+I273</f>
        <v>2669727120</v>
      </c>
      <c r="J264" s="485">
        <f t="shared" ref="J264:K264" si="156">+J265+J273</f>
        <v>2662427120</v>
      </c>
      <c r="K264" s="485">
        <f t="shared" si="156"/>
        <v>2172436880</v>
      </c>
      <c r="L264" s="518">
        <f t="shared" si="151"/>
        <v>99.726563814507003</v>
      </c>
      <c r="M264" s="518">
        <f t="shared" si="152"/>
        <v>122.55486658834478</v>
      </c>
      <c r="R264" s="385"/>
      <c r="S264" s="385"/>
      <c r="AA264" s="274">
        <f>+AA262-I262</f>
        <v>-65000000</v>
      </c>
    </row>
    <row r="265" spans="1:29" s="141" customFormat="1" ht="18.75" hidden="1">
      <c r="A265" s="428" t="s">
        <v>14</v>
      </c>
      <c r="B265" s="421" t="s">
        <v>67</v>
      </c>
      <c r="C265" s="404"/>
      <c r="D265" s="404"/>
      <c r="E265" s="404"/>
      <c r="F265" s="404"/>
      <c r="G265" s="404"/>
      <c r="H265" s="517"/>
      <c r="I265" s="486">
        <f>+I266+I272</f>
        <v>2669727120</v>
      </c>
      <c r="J265" s="486">
        <f t="shared" ref="J265:K265" si="157">+J266+J272</f>
        <v>2662427120</v>
      </c>
      <c r="K265" s="486">
        <f t="shared" si="157"/>
        <v>2063000000</v>
      </c>
      <c r="L265" s="518">
        <f t="shared" si="151"/>
        <v>99.726563814507003</v>
      </c>
      <c r="M265" s="518">
        <f t="shared" si="152"/>
        <v>129.05608919049928</v>
      </c>
      <c r="R265" s="385"/>
      <c r="S265" s="385"/>
    </row>
    <row r="266" spans="1:29" s="141" customFormat="1" ht="18.75" hidden="1">
      <c r="A266" s="437" t="s">
        <v>96</v>
      </c>
      <c r="B266" s="438" t="s">
        <v>29</v>
      </c>
      <c r="C266" s="520"/>
      <c r="D266" s="520"/>
      <c r="E266" s="520"/>
      <c r="F266" s="520"/>
      <c r="G266" s="520"/>
      <c r="H266" s="521"/>
      <c r="I266" s="487">
        <f>SUM(I267:I271)</f>
        <v>2426727120</v>
      </c>
      <c r="J266" s="487">
        <f t="shared" ref="J266:K266" si="158">SUM(J267:J271)</f>
        <v>2419427120</v>
      </c>
      <c r="K266" s="487">
        <f t="shared" si="158"/>
        <v>1905000000</v>
      </c>
      <c r="L266" s="518">
        <f t="shared" si="151"/>
        <v>99.699183318147448</v>
      </c>
      <c r="M266" s="518">
        <f t="shared" si="152"/>
        <v>127.00404829396325</v>
      </c>
      <c r="R266" s="385"/>
      <c r="S266" s="385"/>
    </row>
    <row r="267" spans="1:29" s="649" customFormat="1" ht="18.75" hidden="1">
      <c r="A267" s="666"/>
      <c r="B267" s="642" t="s">
        <v>39</v>
      </c>
      <c r="C267" s="643"/>
      <c r="D267" s="643"/>
      <c r="E267" s="643"/>
      <c r="F267" s="643"/>
      <c r="G267" s="643"/>
      <c r="H267" s="644"/>
      <c r="I267" s="702">
        <f>1409000000</f>
        <v>1409000000</v>
      </c>
      <c r="J267" s="653">
        <v>1409000000</v>
      </c>
      <c r="K267" s="647">
        <v>1433000000</v>
      </c>
      <c r="L267" s="648">
        <f t="shared" si="151"/>
        <v>100</v>
      </c>
      <c r="M267" s="648">
        <f t="shared" si="152"/>
        <v>98.325191905094215</v>
      </c>
      <c r="R267" s="650"/>
      <c r="S267" s="650"/>
    </row>
    <row r="268" spans="1:29" s="649" customFormat="1" ht="37.5" hidden="1">
      <c r="A268" s="666"/>
      <c r="B268" s="651" t="s">
        <v>764</v>
      </c>
      <c r="C268" s="643"/>
      <c r="D268" s="643"/>
      <c r="E268" s="643"/>
      <c r="F268" s="643"/>
      <c r="G268" s="643"/>
      <c r="H268" s="644"/>
      <c r="I268" s="702">
        <v>293000000</v>
      </c>
      <c r="J268" s="653">
        <v>293000000</v>
      </c>
      <c r="K268" s="647"/>
      <c r="L268" s="648"/>
      <c r="M268" s="648"/>
      <c r="R268" s="650"/>
      <c r="S268" s="650"/>
    </row>
    <row r="269" spans="1:29" s="649" customFormat="1" ht="56.25" hidden="1">
      <c r="A269" s="666"/>
      <c r="B269" s="659" t="s">
        <v>759</v>
      </c>
      <c r="C269" s="643"/>
      <c r="D269" s="643"/>
      <c r="E269" s="643"/>
      <c r="F269" s="643"/>
      <c r="G269" s="643"/>
      <c r="H269" s="644"/>
      <c r="I269" s="702">
        <v>47143120</v>
      </c>
      <c r="J269" s="653">
        <v>47143120</v>
      </c>
      <c r="K269" s="647"/>
      <c r="L269" s="648"/>
      <c r="M269" s="648"/>
      <c r="R269" s="650"/>
      <c r="S269" s="650"/>
    </row>
    <row r="270" spans="1:29" s="649" customFormat="1" ht="49.5" hidden="1">
      <c r="A270" s="666"/>
      <c r="B270" s="701" t="s">
        <v>762</v>
      </c>
      <c r="C270" s="643"/>
      <c r="D270" s="643"/>
      <c r="E270" s="643"/>
      <c r="F270" s="643"/>
      <c r="G270" s="643"/>
      <c r="H270" s="644"/>
      <c r="I270" s="702">
        <f>205584000</f>
        <v>205584000</v>
      </c>
      <c r="J270" s="653">
        <v>205284000</v>
      </c>
      <c r="K270" s="647"/>
      <c r="L270" s="648"/>
      <c r="M270" s="648"/>
      <c r="R270" s="650"/>
      <c r="S270" s="650"/>
    </row>
    <row r="271" spans="1:29" s="649" customFormat="1" ht="18.75" hidden="1">
      <c r="A271" s="666"/>
      <c r="B271" s="642" t="s">
        <v>10</v>
      </c>
      <c r="C271" s="643"/>
      <c r="D271" s="643"/>
      <c r="E271" s="643"/>
      <c r="F271" s="643"/>
      <c r="G271" s="643"/>
      <c r="H271" s="644"/>
      <c r="I271" s="700">
        <v>472000000</v>
      </c>
      <c r="J271" s="653">
        <v>465000000</v>
      </c>
      <c r="K271" s="647">
        <v>472000000</v>
      </c>
      <c r="L271" s="648">
        <f t="shared" si="151"/>
        <v>98.516949152542381</v>
      </c>
      <c r="M271" s="648">
        <f t="shared" si="152"/>
        <v>98.516949152542381</v>
      </c>
      <c r="R271" s="650"/>
      <c r="S271" s="650"/>
    </row>
    <row r="272" spans="1:29" ht="17.25" hidden="1" customHeight="1">
      <c r="A272" s="437" t="s">
        <v>98</v>
      </c>
      <c r="B272" s="438" t="s">
        <v>352</v>
      </c>
      <c r="C272" s="123">
        <v>1029500</v>
      </c>
      <c r="D272" s="123">
        <v>412</v>
      </c>
      <c r="E272" s="123">
        <v>250</v>
      </c>
      <c r="F272" s="123">
        <v>12</v>
      </c>
      <c r="G272" s="123"/>
      <c r="H272" s="269">
        <v>200</v>
      </c>
      <c r="I272" s="488">
        <v>243000000</v>
      </c>
      <c r="J272" s="472">
        <v>243000000</v>
      </c>
      <c r="K272" s="561">
        <v>158000000</v>
      </c>
      <c r="L272" s="518">
        <f t="shared" si="151"/>
        <v>100</v>
      </c>
      <c r="M272" s="518">
        <f t="shared" si="152"/>
        <v>153.79746835443038</v>
      </c>
    </row>
    <row r="273" spans="1:19" ht="17.25" hidden="1" customHeight="1">
      <c r="A273" s="428" t="s">
        <v>15</v>
      </c>
      <c r="B273" s="440" t="s">
        <v>69</v>
      </c>
      <c r="C273" s="123"/>
      <c r="D273" s="123"/>
      <c r="E273" s="123"/>
      <c r="F273" s="123"/>
      <c r="G273" s="123"/>
      <c r="H273" s="269"/>
      <c r="I273" s="470">
        <f t="shared" ref="I273:K273" si="159">I274</f>
        <v>0</v>
      </c>
      <c r="J273" s="470">
        <f t="shared" si="159"/>
        <v>0</v>
      </c>
      <c r="K273" s="556">
        <f t="shared" si="159"/>
        <v>109436880</v>
      </c>
      <c r="L273" s="519" t="e">
        <f t="shared" si="151"/>
        <v>#DIV/0!</v>
      </c>
      <c r="M273" s="519">
        <f t="shared" si="152"/>
        <v>0</v>
      </c>
    </row>
    <row r="274" spans="1:19" ht="17.25" hidden="1" customHeight="1">
      <c r="A274" s="428"/>
      <c r="B274" s="438" t="s">
        <v>517</v>
      </c>
      <c r="C274" s="520"/>
      <c r="D274" s="520"/>
      <c r="E274" s="520">
        <v>251</v>
      </c>
      <c r="F274" s="520">
        <v>12</v>
      </c>
      <c r="G274" s="520"/>
      <c r="H274" s="521">
        <v>200</v>
      </c>
      <c r="I274" s="595">
        <f>360143120-293000000-20000000-47143120</f>
        <v>0</v>
      </c>
      <c r="J274" s="472"/>
      <c r="K274" s="561">
        <v>109436880</v>
      </c>
      <c r="L274" s="519" t="e">
        <f t="shared" si="151"/>
        <v>#DIV/0!</v>
      </c>
      <c r="M274" s="519">
        <f t="shared" si="152"/>
        <v>0</v>
      </c>
    </row>
    <row r="275" spans="1:19" s="603" customFormat="1" ht="17.25" hidden="1" customHeight="1">
      <c r="A275" s="596" t="s">
        <v>9</v>
      </c>
      <c r="B275" s="684" t="s">
        <v>608</v>
      </c>
      <c r="C275" s="686"/>
      <c r="D275" s="686"/>
      <c r="E275" s="686"/>
      <c r="F275" s="686"/>
      <c r="G275" s="686"/>
      <c r="H275" s="685"/>
      <c r="I275" s="681">
        <f>+I276+I288+I290</f>
        <v>391620000</v>
      </c>
      <c r="J275" s="681">
        <f t="shared" ref="J275:K275" si="160">+J276+J288+J290</f>
        <v>328314062</v>
      </c>
      <c r="K275" s="681">
        <f t="shared" si="160"/>
        <v>412237427</v>
      </c>
      <c r="L275" s="634"/>
      <c r="M275" s="634"/>
      <c r="R275" s="604"/>
      <c r="S275" s="604"/>
    </row>
    <row r="276" spans="1:19" s="603" customFormat="1" ht="19.5" hidden="1">
      <c r="A276" s="596" t="s">
        <v>770</v>
      </c>
      <c r="B276" s="684" t="s">
        <v>771</v>
      </c>
      <c r="C276" s="691">
        <v>1030351</v>
      </c>
      <c r="D276" s="691">
        <v>412</v>
      </c>
      <c r="E276" s="691"/>
      <c r="F276" s="691"/>
      <c r="G276" s="691"/>
      <c r="H276" s="690"/>
      <c r="I276" s="680">
        <f>+I277+I278+I284+I285+I286+I287</f>
        <v>314400000</v>
      </c>
      <c r="J276" s="680">
        <f t="shared" ref="J276:K276" si="161">+J277+J278+J284+J285+J286+J287</f>
        <v>251094062</v>
      </c>
      <c r="K276" s="680">
        <f t="shared" si="161"/>
        <v>392237427</v>
      </c>
      <c r="L276" s="602">
        <f t="shared" si="151"/>
        <v>79.864523536895675</v>
      </c>
      <c r="M276" s="602">
        <f t="shared" si="152"/>
        <v>64.015834470584579</v>
      </c>
      <c r="N276" s="689">
        <f>+I276+360000000</f>
        <v>674400000</v>
      </c>
      <c r="R276" s="604"/>
      <c r="S276" s="604"/>
    </row>
    <row r="277" spans="1:19" ht="18.75" hidden="1">
      <c r="A277" s="437" t="s">
        <v>14</v>
      </c>
      <c r="B277" s="441" t="s">
        <v>36</v>
      </c>
      <c r="C277" s="123">
        <v>1030351</v>
      </c>
      <c r="D277" s="123">
        <v>412</v>
      </c>
      <c r="E277" s="123">
        <v>280</v>
      </c>
      <c r="F277" s="123"/>
      <c r="G277" s="123"/>
      <c r="H277" s="269"/>
      <c r="I277" s="488">
        <v>24000000</v>
      </c>
      <c r="J277" s="472">
        <v>24000000</v>
      </c>
      <c r="K277" s="561">
        <v>20490000</v>
      </c>
      <c r="L277" s="518">
        <f t="shared" si="151"/>
        <v>100</v>
      </c>
      <c r="M277" s="518">
        <f t="shared" si="152"/>
        <v>117.13030746705711</v>
      </c>
    </row>
    <row r="278" spans="1:19" ht="18.75" hidden="1">
      <c r="A278" s="437" t="s">
        <v>15</v>
      </c>
      <c r="B278" s="441" t="s">
        <v>446</v>
      </c>
      <c r="C278" s="123"/>
      <c r="D278" s="123"/>
      <c r="E278" s="123"/>
      <c r="F278" s="123"/>
      <c r="G278" s="123"/>
      <c r="H278" s="269"/>
      <c r="I278" s="487">
        <f>SUM(I279:I283)</f>
        <v>270400000</v>
      </c>
      <c r="J278" s="487">
        <f t="shared" ref="J278:K278" si="162">SUM(J279:J283)</f>
        <v>207094062</v>
      </c>
      <c r="K278" s="487">
        <f t="shared" si="162"/>
        <v>143229427</v>
      </c>
      <c r="L278" s="518">
        <f t="shared" si="151"/>
        <v>76.58804068047337</v>
      </c>
      <c r="M278" s="518">
        <f t="shared" si="152"/>
        <v>144.58904593676829</v>
      </c>
    </row>
    <row r="279" spans="1:19" ht="18.75" hidden="1">
      <c r="A279" s="443"/>
      <c r="B279" s="453" t="s">
        <v>350</v>
      </c>
      <c r="C279" s="123">
        <v>1030351</v>
      </c>
      <c r="D279" s="123">
        <v>412</v>
      </c>
      <c r="E279" s="123">
        <v>281</v>
      </c>
      <c r="F279" s="123">
        <v>13</v>
      </c>
      <c r="G279" s="123"/>
      <c r="H279" s="269">
        <v>200</v>
      </c>
      <c r="I279" s="476">
        <v>10000000</v>
      </c>
      <c r="J279" s="476">
        <v>10000000</v>
      </c>
      <c r="K279" s="567">
        <v>10000000</v>
      </c>
      <c r="L279" s="519">
        <f t="shared" si="151"/>
        <v>100</v>
      </c>
      <c r="M279" s="519">
        <f t="shared" si="152"/>
        <v>100</v>
      </c>
    </row>
    <row r="280" spans="1:19" ht="18.75" hidden="1">
      <c r="A280" s="443"/>
      <c r="B280" s="453" t="s">
        <v>353</v>
      </c>
      <c r="C280" s="520"/>
      <c r="D280" s="520"/>
      <c r="E280" s="520"/>
      <c r="F280" s="520"/>
      <c r="G280" s="520"/>
      <c r="H280" s="521"/>
      <c r="I280" s="476">
        <v>77000000</v>
      </c>
      <c r="J280" s="476">
        <v>62914475</v>
      </c>
      <c r="K280" s="567"/>
      <c r="L280" s="518">
        <f t="shared" si="151"/>
        <v>81.707110389610392</v>
      </c>
      <c r="M280" s="519" t="e">
        <f t="shared" si="152"/>
        <v>#DIV/0!</v>
      </c>
    </row>
    <row r="281" spans="1:19" ht="18.75" hidden="1">
      <c r="A281" s="443"/>
      <c r="B281" s="453" t="s">
        <v>47</v>
      </c>
      <c r="C281" s="404"/>
      <c r="D281" s="404"/>
      <c r="E281" s="404"/>
      <c r="F281" s="404"/>
      <c r="G281" s="404"/>
      <c r="H281" s="517"/>
      <c r="I281" s="615">
        <f>189000000-61300000</f>
        <v>127700000</v>
      </c>
      <c r="J281" s="476">
        <v>86094639</v>
      </c>
      <c r="K281" s="567">
        <v>43960943</v>
      </c>
      <c r="L281" s="518">
        <f t="shared" si="151"/>
        <v>67.419451057165233</v>
      </c>
      <c r="M281" s="518">
        <f t="shared" si="152"/>
        <v>195.84347633307138</v>
      </c>
    </row>
    <row r="282" spans="1:19" ht="37.5" hidden="1">
      <c r="A282" s="443"/>
      <c r="B282" s="453" t="s">
        <v>354</v>
      </c>
      <c r="C282" s="404"/>
      <c r="D282" s="404"/>
      <c r="E282" s="404"/>
      <c r="F282" s="404"/>
      <c r="G282" s="404"/>
      <c r="H282" s="517"/>
      <c r="I282" s="586">
        <f>99000000-66300000</f>
        <v>32700000</v>
      </c>
      <c r="J282" s="476">
        <v>29085430</v>
      </c>
      <c r="K282" s="567">
        <v>89268484</v>
      </c>
      <c r="L282" s="519">
        <f t="shared" si="151"/>
        <v>88.946269113149839</v>
      </c>
      <c r="M282" s="519">
        <f t="shared" si="152"/>
        <v>32.581969242358817</v>
      </c>
    </row>
    <row r="283" spans="1:19" ht="18.75" hidden="1">
      <c r="A283" s="443"/>
      <c r="B283" s="453" t="s">
        <v>351</v>
      </c>
      <c r="C283" s="520"/>
      <c r="D283" s="520"/>
      <c r="E283" s="520"/>
      <c r="F283" s="520"/>
      <c r="G283" s="520"/>
      <c r="H283" s="521"/>
      <c r="I283" s="489">
        <v>23000000</v>
      </c>
      <c r="J283" s="476">
        <v>18999518</v>
      </c>
      <c r="K283" s="567"/>
      <c r="L283" s="518">
        <f t="shared" si="151"/>
        <v>82.6066</v>
      </c>
      <c r="M283" s="519" t="e">
        <f t="shared" si="152"/>
        <v>#DIV/0!</v>
      </c>
    </row>
    <row r="284" spans="1:19" ht="37.5" hidden="1">
      <c r="A284" s="435" t="s">
        <v>24</v>
      </c>
      <c r="B284" s="453" t="s">
        <v>699</v>
      </c>
      <c r="C284" s="123">
        <v>1030351</v>
      </c>
      <c r="D284" s="123">
        <v>412</v>
      </c>
      <c r="E284" s="123">
        <v>281</v>
      </c>
      <c r="F284" s="123">
        <v>14</v>
      </c>
      <c r="G284" s="123"/>
      <c r="H284" s="269">
        <v>200</v>
      </c>
      <c r="I284" s="486">
        <v>0</v>
      </c>
      <c r="J284" s="472"/>
      <c r="K284" s="561">
        <v>104300000</v>
      </c>
      <c r="L284" s="519" t="e">
        <f t="shared" si="151"/>
        <v>#DIV/0!</v>
      </c>
      <c r="M284" s="519">
        <f t="shared" si="152"/>
        <v>0</v>
      </c>
    </row>
    <row r="285" spans="1:19" ht="37.5" hidden="1">
      <c r="A285" s="435" t="s">
        <v>313</v>
      </c>
      <c r="B285" s="453" t="s">
        <v>700</v>
      </c>
      <c r="C285" s="520"/>
      <c r="D285" s="520"/>
      <c r="E285" s="520"/>
      <c r="F285" s="520" t="s">
        <v>339</v>
      </c>
      <c r="G285" s="520"/>
      <c r="H285" s="521">
        <v>200</v>
      </c>
      <c r="I285" s="487">
        <v>0</v>
      </c>
      <c r="J285" s="472"/>
      <c r="K285" s="561">
        <v>67785000</v>
      </c>
      <c r="L285" s="519" t="e">
        <f t="shared" si="151"/>
        <v>#DIV/0!</v>
      </c>
      <c r="M285" s="519">
        <f t="shared" si="152"/>
        <v>0</v>
      </c>
    </row>
    <row r="286" spans="1:19" ht="37.5" hidden="1">
      <c r="A286" s="435" t="s">
        <v>316</v>
      </c>
      <c r="B286" s="453" t="s">
        <v>701</v>
      </c>
      <c r="C286" s="123">
        <v>1030351</v>
      </c>
      <c r="D286" s="123">
        <v>412</v>
      </c>
      <c r="E286" s="123">
        <v>281</v>
      </c>
      <c r="F286" s="123">
        <v>12</v>
      </c>
      <c r="G286" s="123"/>
      <c r="H286" s="269">
        <v>200</v>
      </c>
      <c r="I286" s="476">
        <v>0</v>
      </c>
      <c r="J286" s="472"/>
      <c r="K286" s="561">
        <v>56433000</v>
      </c>
      <c r="L286" s="519" t="e">
        <f t="shared" si="151"/>
        <v>#DIV/0!</v>
      </c>
      <c r="M286" s="519">
        <f t="shared" si="152"/>
        <v>0</v>
      </c>
    </row>
    <row r="287" spans="1:19" ht="47.25" hidden="1">
      <c r="A287" s="435" t="s">
        <v>317</v>
      </c>
      <c r="B287" s="616" t="s">
        <v>743</v>
      </c>
      <c r="C287" s="606"/>
      <c r="D287" s="606"/>
      <c r="E287" s="606"/>
      <c r="F287" s="606"/>
      <c r="G287" s="606"/>
      <c r="H287" s="605"/>
      <c r="I287" s="617">
        <v>20000000</v>
      </c>
      <c r="J287" s="617">
        <v>20000000</v>
      </c>
      <c r="K287" s="561"/>
      <c r="L287" s="519"/>
      <c r="M287" s="519"/>
    </row>
    <row r="288" spans="1:19" ht="19.5" hidden="1">
      <c r="A288" s="435" t="s">
        <v>775</v>
      </c>
      <c r="B288" s="436" t="s">
        <v>70</v>
      </c>
      <c r="C288" s="521"/>
      <c r="D288" s="521"/>
      <c r="E288" s="521"/>
      <c r="F288" s="521"/>
      <c r="G288" s="521"/>
      <c r="H288" s="521"/>
      <c r="I288" s="470">
        <f t="shared" ref="I288:K288" si="163">+I289</f>
        <v>0</v>
      </c>
      <c r="J288" s="470">
        <f t="shared" si="163"/>
        <v>0</v>
      </c>
      <c r="K288" s="556">
        <f t="shared" si="163"/>
        <v>20000000</v>
      </c>
      <c r="L288" s="519" t="e">
        <f t="shared" si="151"/>
        <v>#DIV/0!</v>
      </c>
      <c r="M288" s="519">
        <f t="shared" si="152"/>
        <v>0</v>
      </c>
    </row>
    <row r="289" spans="1:27" ht="37.5" hidden="1">
      <c r="A289" s="435"/>
      <c r="B289" s="439" t="s">
        <v>88</v>
      </c>
      <c r="C289" s="521"/>
      <c r="D289" s="521"/>
      <c r="E289" s="521"/>
      <c r="F289" s="521"/>
      <c r="G289" s="521"/>
      <c r="H289" s="521"/>
      <c r="I289" s="472">
        <v>0</v>
      </c>
      <c r="J289" s="472"/>
      <c r="K289" s="561">
        <v>20000000</v>
      </c>
      <c r="L289" s="519" t="e">
        <f t="shared" si="151"/>
        <v>#DIV/0!</v>
      </c>
      <c r="M289" s="519">
        <f t="shared" si="152"/>
        <v>0</v>
      </c>
    </row>
    <row r="290" spans="1:27" ht="19.5" hidden="1">
      <c r="A290" s="435"/>
      <c r="B290" s="629" t="s">
        <v>779</v>
      </c>
      <c r="C290" s="521"/>
      <c r="D290" s="521"/>
      <c r="E290" s="521"/>
      <c r="F290" s="521"/>
      <c r="G290" s="521"/>
      <c r="H290" s="521"/>
      <c r="I290" s="472">
        <f>+I291</f>
        <v>77220000</v>
      </c>
      <c r="J290" s="472">
        <f t="shared" ref="J290:K290" si="164">+J291</f>
        <v>77220000</v>
      </c>
      <c r="K290" s="472">
        <f t="shared" si="164"/>
        <v>0</v>
      </c>
      <c r="L290" s="519"/>
      <c r="M290" s="519"/>
    </row>
    <row r="291" spans="1:27" ht="33" hidden="1">
      <c r="A291" s="435"/>
      <c r="B291" s="705" t="s">
        <v>774</v>
      </c>
      <c r="C291" s="521"/>
      <c r="D291" s="521"/>
      <c r="E291" s="521"/>
      <c r="F291" s="521"/>
      <c r="G291" s="521"/>
      <c r="H291" s="521"/>
      <c r="I291" s="641">
        <v>77220000</v>
      </c>
      <c r="J291" s="641">
        <v>77220000</v>
      </c>
      <c r="K291" s="561"/>
      <c r="L291" s="519"/>
      <c r="M291" s="519"/>
    </row>
    <row r="292" spans="1:27" ht="19.5" hidden="1">
      <c r="A292" s="435">
        <v>2</v>
      </c>
      <c r="B292" s="421" t="s">
        <v>537</v>
      </c>
      <c r="C292" s="521"/>
      <c r="D292" s="521"/>
      <c r="E292" s="521"/>
      <c r="F292" s="521"/>
      <c r="G292" s="521"/>
      <c r="H292" s="521"/>
      <c r="I292" s="475">
        <f t="shared" ref="I292:K292" si="165">I293+I294</f>
        <v>29400000</v>
      </c>
      <c r="J292" s="475">
        <f t="shared" si="165"/>
        <v>29400000</v>
      </c>
      <c r="K292" s="553">
        <f t="shared" si="165"/>
        <v>32200000</v>
      </c>
      <c r="L292" s="518">
        <f t="shared" si="151"/>
        <v>100</v>
      </c>
      <c r="M292" s="518">
        <f t="shared" si="152"/>
        <v>91.304347826086953</v>
      </c>
    </row>
    <row r="293" spans="1:27" ht="19.5" hidden="1">
      <c r="A293" s="435"/>
      <c r="B293" s="439" t="s">
        <v>546</v>
      </c>
      <c r="C293" s="520"/>
      <c r="D293" s="520"/>
      <c r="E293" s="520"/>
      <c r="F293" s="520"/>
      <c r="G293" s="520"/>
      <c r="H293" s="521"/>
      <c r="I293" s="472">
        <v>28000000</v>
      </c>
      <c r="J293" s="472">
        <v>28000000</v>
      </c>
      <c r="K293" s="561">
        <v>30800000</v>
      </c>
      <c r="L293" s="518">
        <f t="shared" si="151"/>
        <v>100</v>
      </c>
      <c r="M293" s="518">
        <f t="shared" si="152"/>
        <v>90.909090909090907</v>
      </c>
    </row>
    <row r="294" spans="1:27" ht="37.5" hidden="1">
      <c r="A294" s="443"/>
      <c r="B294" s="439" t="s">
        <v>541</v>
      </c>
      <c r="C294" s="520"/>
      <c r="D294" s="520"/>
      <c r="E294" s="520"/>
      <c r="F294" s="520"/>
      <c r="G294" s="520"/>
      <c r="H294" s="521"/>
      <c r="I294" s="487">
        <v>1400000</v>
      </c>
      <c r="J294" s="472">
        <v>1400000</v>
      </c>
      <c r="K294" s="561">
        <v>1400000</v>
      </c>
      <c r="L294" s="518">
        <f t="shared" si="151"/>
        <v>100</v>
      </c>
      <c r="M294" s="518">
        <f t="shared" si="152"/>
        <v>100</v>
      </c>
    </row>
    <row r="295" spans="1:27" ht="18.75" hidden="1">
      <c r="A295" s="428">
        <v>3</v>
      </c>
      <c r="B295" s="429" t="s">
        <v>34</v>
      </c>
      <c r="C295" s="520"/>
      <c r="D295" s="520"/>
      <c r="E295" s="520"/>
      <c r="F295" s="520"/>
      <c r="G295" s="520"/>
      <c r="H295" s="521"/>
      <c r="I295" s="470">
        <f>+I296+I306</f>
        <v>7297826149</v>
      </c>
      <c r="J295" s="470">
        <f t="shared" ref="J295:K295" si="166">+J296+J306</f>
        <v>6955889122</v>
      </c>
      <c r="K295" s="470">
        <f t="shared" si="166"/>
        <v>5974140256</v>
      </c>
      <c r="L295" s="518">
        <f t="shared" si="151"/>
        <v>95.314535862890423</v>
      </c>
      <c r="M295" s="518">
        <f t="shared" si="152"/>
        <v>116.43330795613647</v>
      </c>
    </row>
    <row r="296" spans="1:27" ht="18.75" hidden="1">
      <c r="A296" s="428" t="s">
        <v>623</v>
      </c>
      <c r="B296" s="421" t="s">
        <v>7</v>
      </c>
      <c r="C296" s="520"/>
      <c r="D296" s="520"/>
      <c r="E296" s="520"/>
      <c r="F296" s="520"/>
      <c r="G296" s="520"/>
      <c r="H296" s="521"/>
      <c r="I296" s="486">
        <f>I297+I304</f>
        <v>4664529149</v>
      </c>
      <c r="J296" s="486">
        <f t="shared" ref="J296:K296" si="167">J297+J304</f>
        <v>4526829149</v>
      </c>
      <c r="K296" s="486">
        <f t="shared" si="167"/>
        <v>4282562851</v>
      </c>
      <c r="L296" s="518">
        <f t="shared" si="151"/>
        <v>97.047933551245563</v>
      </c>
      <c r="M296" s="518">
        <f t="shared" si="152"/>
        <v>105.70374111247341</v>
      </c>
    </row>
    <row r="297" spans="1:27" ht="18.75" hidden="1">
      <c r="A297" s="428" t="s">
        <v>14</v>
      </c>
      <c r="B297" s="421" t="s">
        <v>67</v>
      </c>
      <c r="C297" s="520"/>
      <c r="D297" s="520"/>
      <c r="E297" s="520"/>
      <c r="F297" s="520"/>
      <c r="G297" s="520"/>
      <c r="H297" s="521"/>
      <c r="I297" s="486">
        <f t="shared" ref="I297:K297" si="168">I298</f>
        <v>4664529149</v>
      </c>
      <c r="J297" s="486">
        <f t="shared" si="168"/>
        <v>4526829149</v>
      </c>
      <c r="K297" s="486">
        <f t="shared" si="168"/>
        <v>4038000000</v>
      </c>
      <c r="L297" s="518">
        <f t="shared" si="151"/>
        <v>97.047933551245563</v>
      </c>
      <c r="M297" s="518">
        <f t="shared" si="152"/>
        <v>112.10572434373451</v>
      </c>
    </row>
    <row r="298" spans="1:27" ht="18.75" hidden="1">
      <c r="A298" s="428"/>
      <c r="B298" s="438" t="s">
        <v>72</v>
      </c>
      <c r="C298" s="520"/>
      <c r="D298" s="520"/>
      <c r="E298" s="520"/>
      <c r="F298" s="520"/>
      <c r="G298" s="520"/>
      <c r="H298" s="521"/>
      <c r="I298" s="487">
        <f>SUM(I299:I303)</f>
        <v>4664529149</v>
      </c>
      <c r="J298" s="487">
        <f t="shared" ref="J298:K298" si="169">SUM(J299:J303)</f>
        <v>4526829149</v>
      </c>
      <c r="K298" s="487">
        <f t="shared" si="169"/>
        <v>4038000000</v>
      </c>
      <c r="L298" s="518">
        <f t="shared" si="151"/>
        <v>97.047933551245563</v>
      </c>
      <c r="M298" s="518">
        <f t="shared" si="152"/>
        <v>112.10572434373451</v>
      </c>
    </row>
    <row r="299" spans="1:27" s="397" customFormat="1" ht="18.75" hidden="1">
      <c r="A299" s="428"/>
      <c r="B299" s="439" t="s">
        <v>40</v>
      </c>
      <c r="C299" s="536"/>
      <c r="D299" s="536"/>
      <c r="E299" s="536"/>
      <c r="F299" s="536"/>
      <c r="G299" s="536"/>
      <c r="H299" s="537"/>
      <c r="I299" s="594">
        <f>2830000000</f>
        <v>2830000000</v>
      </c>
      <c r="J299" s="472">
        <v>2830000000</v>
      </c>
      <c r="K299" s="561">
        <v>3150000000</v>
      </c>
      <c r="L299" s="518">
        <f t="shared" si="151"/>
        <v>100</v>
      </c>
      <c r="M299" s="518">
        <f t="shared" si="152"/>
        <v>89.841269841269849</v>
      </c>
      <c r="R299" s="398"/>
      <c r="S299" s="398"/>
      <c r="AA299" s="128"/>
    </row>
    <row r="300" spans="1:27" s="397" customFormat="1" ht="37.5" hidden="1">
      <c r="A300" s="428"/>
      <c r="B300" s="438" t="s">
        <v>765</v>
      </c>
      <c r="C300" s="536"/>
      <c r="D300" s="536"/>
      <c r="E300" s="536"/>
      <c r="F300" s="536"/>
      <c r="G300" s="536"/>
      <c r="H300" s="537"/>
      <c r="I300" s="594">
        <v>589000000</v>
      </c>
      <c r="J300" s="472">
        <v>589000000</v>
      </c>
      <c r="K300" s="561"/>
      <c r="L300" s="518"/>
      <c r="M300" s="518"/>
      <c r="R300" s="398"/>
      <c r="S300" s="398"/>
      <c r="AA300" s="128"/>
    </row>
    <row r="301" spans="1:27" s="397" customFormat="1" ht="56.25" hidden="1">
      <c r="A301" s="428"/>
      <c r="B301" s="659" t="s">
        <v>759</v>
      </c>
      <c r="C301" s="536"/>
      <c r="D301" s="536"/>
      <c r="E301" s="536"/>
      <c r="F301" s="536"/>
      <c r="G301" s="536"/>
      <c r="H301" s="537"/>
      <c r="I301" s="594">
        <v>15507149</v>
      </c>
      <c r="J301" s="472">
        <v>15507149</v>
      </c>
      <c r="K301" s="561"/>
      <c r="L301" s="518"/>
      <c r="M301" s="518"/>
      <c r="R301" s="398"/>
      <c r="S301" s="398"/>
      <c r="AA301" s="128"/>
    </row>
    <row r="302" spans="1:27" s="397" customFormat="1" ht="49.5" hidden="1">
      <c r="A302" s="428"/>
      <c r="B302" s="701" t="s">
        <v>762</v>
      </c>
      <c r="C302" s="536"/>
      <c r="D302" s="536"/>
      <c r="E302" s="536"/>
      <c r="F302" s="536"/>
      <c r="G302" s="536"/>
      <c r="H302" s="537"/>
      <c r="I302" s="594">
        <f>383022000</f>
        <v>383022000</v>
      </c>
      <c r="J302" s="472">
        <v>259322000</v>
      </c>
      <c r="K302" s="561"/>
      <c r="L302" s="518"/>
      <c r="M302" s="518"/>
      <c r="R302" s="398"/>
      <c r="S302" s="398"/>
      <c r="AA302" s="128"/>
    </row>
    <row r="303" spans="1:27" s="267" customFormat="1" ht="18.75" hidden="1">
      <c r="A303" s="428"/>
      <c r="B303" s="448" t="s">
        <v>10</v>
      </c>
      <c r="C303" s="520"/>
      <c r="D303" s="520"/>
      <c r="E303" s="520"/>
      <c r="F303" s="520"/>
      <c r="G303" s="520"/>
      <c r="H303" s="521"/>
      <c r="I303" s="493">
        <v>847000000</v>
      </c>
      <c r="J303" s="472">
        <v>833000000</v>
      </c>
      <c r="K303" s="561">
        <v>888000000</v>
      </c>
      <c r="L303" s="518">
        <f t="shared" si="151"/>
        <v>98.347107438016536</v>
      </c>
      <c r="M303" s="518">
        <f t="shared" si="152"/>
        <v>93.806306306306311</v>
      </c>
      <c r="R303" s="390"/>
      <c r="S303" s="390"/>
      <c r="AA303" s="128"/>
    </row>
    <row r="304" spans="1:27" s="267" customFormat="1" ht="18.75" hidden="1">
      <c r="A304" s="428" t="s">
        <v>15</v>
      </c>
      <c r="B304" s="440" t="s">
        <v>69</v>
      </c>
      <c r="C304" s="520"/>
      <c r="D304" s="520"/>
      <c r="E304" s="520"/>
      <c r="F304" s="520"/>
      <c r="G304" s="520"/>
      <c r="H304" s="521"/>
      <c r="I304" s="470">
        <f t="shared" ref="I304:K304" si="170">I305</f>
        <v>0</v>
      </c>
      <c r="J304" s="470">
        <f t="shared" si="170"/>
        <v>0</v>
      </c>
      <c r="K304" s="556">
        <f t="shared" si="170"/>
        <v>244562851</v>
      </c>
      <c r="L304" s="519" t="e">
        <f t="shared" si="151"/>
        <v>#DIV/0!</v>
      </c>
      <c r="M304" s="519">
        <f t="shared" si="152"/>
        <v>0</v>
      </c>
      <c r="R304" s="390"/>
      <c r="S304" s="390"/>
      <c r="AA304" s="128"/>
    </row>
    <row r="305" spans="1:27" ht="37.5" hidden="1">
      <c r="A305" s="428"/>
      <c r="B305" s="438" t="s">
        <v>518</v>
      </c>
      <c r="C305" s="530">
        <v>1030702</v>
      </c>
      <c r="D305" s="530">
        <v>412</v>
      </c>
      <c r="E305" s="530"/>
      <c r="F305" s="530"/>
      <c r="G305" s="530"/>
      <c r="H305" s="531"/>
      <c r="I305" s="594">
        <f>604507149-589000000-15507149</f>
        <v>0</v>
      </c>
      <c r="J305" s="472"/>
      <c r="K305" s="561">
        <v>244562851</v>
      </c>
      <c r="L305" s="519" t="e">
        <f t="shared" si="151"/>
        <v>#DIV/0!</v>
      </c>
      <c r="M305" s="519">
        <f t="shared" si="152"/>
        <v>0</v>
      </c>
      <c r="N305" s="129">
        <f>+I305+I421</f>
        <v>700500000</v>
      </c>
    </row>
    <row r="306" spans="1:27" s="603" customFormat="1" ht="18.75" hidden="1">
      <c r="A306" s="607" t="s">
        <v>624</v>
      </c>
      <c r="B306" s="597" t="s">
        <v>608</v>
      </c>
      <c r="C306" s="691"/>
      <c r="D306" s="691"/>
      <c r="E306" s="691"/>
      <c r="F306" s="691"/>
      <c r="G306" s="691"/>
      <c r="H306" s="690"/>
      <c r="I306" s="677">
        <f>+I307+I320+I323</f>
        <v>2633297000</v>
      </c>
      <c r="J306" s="677">
        <f t="shared" ref="J306:K306" si="171">+J307+J320+J323</f>
        <v>2429059973</v>
      </c>
      <c r="K306" s="677">
        <f t="shared" si="171"/>
        <v>1691577405</v>
      </c>
      <c r="L306" s="634"/>
      <c r="M306" s="634"/>
      <c r="N306" s="689"/>
      <c r="R306" s="604"/>
      <c r="S306" s="604"/>
    </row>
    <row r="307" spans="1:27" ht="18.75" hidden="1">
      <c r="A307" s="428" t="s">
        <v>778</v>
      </c>
      <c r="B307" s="421" t="s">
        <v>771</v>
      </c>
      <c r="C307" s="123">
        <v>1030702</v>
      </c>
      <c r="D307" s="123">
        <v>412</v>
      </c>
      <c r="E307" s="123">
        <v>280</v>
      </c>
      <c r="F307" s="123"/>
      <c r="G307" s="123"/>
      <c r="H307" s="269"/>
      <c r="I307" s="486">
        <f>SUM(I308:I319)</f>
        <v>2449137000</v>
      </c>
      <c r="J307" s="486">
        <f t="shared" ref="J307:K307" si="172">SUM(J308:J319)</f>
        <v>2251945009</v>
      </c>
      <c r="K307" s="486">
        <f t="shared" si="172"/>
        <v>1608156405</v>
      </c>
      <c r="L307" s="518">
        <f t="shared" si="151"/>
        <v>91.948511210275299</v>
      </c>
      <c r="M307" s="518">
        <f t="shared" si="152"/>
        <v>140.03271087304472</v>
      </c>
    </row>
    <row r="308" spans="1:27" s="171" customFormat="1" ht="18.75" hidden="1">
      <c r="A308" s="437" t="s">
        <v>14</v>
      </c>
      <c r="B308" s="430" t="s">
        <v>42</v>
      </c>
      <c r="C308" s="540"/>
      <c r="D308" s="540"/>
      <c r="E308" s="540"/>
      <c r="F308" s="540"/>
      <c r="G308" s="540"/>
      <c r="H308" s="541"/>
      <c r="I308" s="592">
        <f>551000000+53600000</f>
        <v>604600000</v>
      </c>
      <c r="J308" s="472">
        <v>602301300</v>
      </c>
      <c r="K308" s="561">
        <v>482475000</v>
      </c>
      <c r="L308" s="518">
        <f t="shared" si="151"/>
        <v>99.619798213695006</v>
      </c>
      <c r="M308" s="518">
        <f t="shared" si="152"/>
        <v>124.83575314783148</v>
      </c>
      <c r="R308" s="391"/>
      <c r="S308" s="391"/>
      <c r="AA308" s="128"/>
    </row>
    <row r="309" spans="1:27" s="141" customFormat="1" ht="37.5" hidden="1">
      <c r="A309" s="437" t="s">
        <v>15</v>
      </c>
      <c r="B309" s="430" t="s">
        <v>356</v>
      </c>
      <c r="C309" s="123">
        <v>1030702</v>
      </c>
      <c r="D309" s="123">
        <v>412</v>
      </c>
      <c r="E309" s="123">
        <v>282</v>
      </c>
      <c r="F309" s="123">
        <v>13</v>
      </c>
      <c r="G309" s="123"/>
      <c r="H309" s="269">
        <v>200</v>
      </c>
      <c r="I309" s="592">
        <f>100000000-13000000</f>
        <v>87000000</v>
      </c>
      <c r="J309" s="472">
        <v>50470057</v>
      </c>
      <c r="K309" s="561"/>
      <c r="L309" s="518">
        <f t="shared" si="151"/>
        <v>58.011559770114943</v>
      </c>
      <c r="M309" s="519" t="e">
        <f t="shared" si="152"/>
        <v>#DIV/0!</v>
      </c>
      <c r="R309" s="385"/>
      <c r="S309" s="385"/>
      <c r="AA309" s="128"/>
    </row>
    <row r="310" spans="1:27" ht="18.75" hidden="1">
      <c r="A310" s="437" t="s">
        <v>24</v>
      </c>
      <c r="B310" s="430" t="s">
        <v>445</v>
      </c>
      <c r="C310" s="520"/>
      <c r="D310" s="520"/>
      <c r="E310" s="520"/>
      <c r="F310" s="520"/>
      <c r="G310" s="520"/>
      <c r="H310" s="521"/>
      <c r="I310" s="592">
        <f>83000000-22000000</f>
        <v>61000000</v>
      </c>
      <c r="J310" s="472">
        <v>45155000</v>
      </c>
      <c r="K310" s="561">
        <v>57840000</v>
      </c>
      <c r="L310" s="518">
        <f t="shared" si="151"/>
        <v>74.02459016393442</v>
      </c>
      <c r="M310" s="519">
        <f t="shared" si="152"/>
        <v>78.068810511756567</v>
      </c>
    </row>
    <row r="311" spans="1:27" ht="56.25" hidden="1">
      <c r="A311" s="437" t="s">
        <v>313</v>
      </c>
      <c r="B311" s="430" t="s">
        <v>535</v>
      </c>
      <c r="C311" s="404"/>
      <c r="D311" s="404"/>
      <c r="E311" s="404"/>
      <c r="F311" s="404"/>
      <c r="G311" s="404"/>
      <c r="H311" s="517"/>
      <c r="I311" s="472">
        <v>1036000000</v>
      </c>
      <c r="J311" s="472">
        <v>919400000</v>
      </c>
      <c r="K311" s="561">
        <v>617600000</v>
      </c>
      <c r="L311" s="518">
        <f t="shared" si="151"/>
        <v>88.745173745173744</v>
      </c>
      <c r="M311" s="518">
        <f t="shared" si="152"/>
        <v>148.86658031088083</v>
      </c>
    </row>
    <row r="312" spans="1:27" ht="37.5" hidden="1">
      <c r="A312" s="437" t="s">
        <v>314</v>
      </c>
      <c r="B312" s="430" t="s">
        <v>355</v>
      </c>
      <c r="C312" s="404"/>
      <c r="D312" s="404"/>
      <c r="E312" s="404"/>
      <c r="F312" s="404"/>
      <c r="G312" s="404"/>
      <c r="H312" s="517"/>
      <c r="I312" s="487">
        <v>19000000</v>
      </c>
      <c r="J312" s="472">
        <v>12989184</v>
      </c>
      <c r="K312" s="561"/>
      <c r="L312" s="519">
        <f t="shared" si="151"/>
        <v>68.364126315789477</v>
      </c>
      <c r="M312" s="519" t="e">
        <f t="shared" si="152"/>
        <v>#DIV/0!</v>
      </c>
      <c r="N312" s="505"/>
    </row>
    <row r="313" spans="1:27" ht="18.75" hidden="1">
      <c r="A313" s="437" t="s">
        <v>315</v>
      </c>
      <c r="B313" s="430" t="s">
        <v>44</v>
      </c>
      <c r="C313" s="520"/>
      <c r="D313" s="520"/>
      <c r="E313" s="520"/>
      <c r="F313" s="520"/>
      <c r="G313" s="520"/>
      <c r="H313" s="521"/>
      <c r="I313" s="591">
        <f>180000000-175000000-5000000*0</f>
        <v>5000000</v>
      </c>
      <c r="J313" s="472"/>
      <c r="K313" s="561"/>
      <c r="L313" s="519">
        <f t="shared" si="151"/>
        <v>0</v>
      </c>
      <c r="M313" s="519" t="e">
        <f t="shared" si="152"/>
        <v>#DIV/0!</v>
      </c>
    </row>
    <row r="314" spans="1:27" ht="33" hidden="1">
      <c r="A314" s="437" t="s">
        <v>316</v>
      </c>
      <c r="B314" s="584" t="s">
        <v>737</v>
      </c>
      <c r="C314" s="520"/>
      <c r="D314" s="520"/>
      <c r="E314" s="520"/>
      <c r="F314" s="520"/>
      <c r="G314" s="520"/>
      <c r="H314" s="521"/>
      <c r="I314" s="487">
        <v>245915000</v>
      </c>
      <c r="J314" s="472">
        <v>245915000</v>
      </c>
      <c r="K314" s="561"/>
      <c r="L314" s="518"/>
      <c r="M314" s="518"/>
    </row>
    <row r="315" spans="1:27" ht="33" hidden="1">
      <c r="A315" s="437" t="s">
        <v>317</v>
      </c>
      <c r="B315" s="584" t="s">
        <v>738</v>
      </c>
      <c r="C315" s="520"/>
      <c r="D315" s="520"/>
      <c r="E315" s="520"/>
      <c r="F315" s="520"/>
      <c r="G315" s="520"/>
      <c r="H315" s="521"/>
      <c r="I315" s="487">
        <v>202622000</v>
      </c>
      <c r="J315" s="472">
        <v>202621835</v>
      </c>
      <c r="K315" s="561"/>
      <c r="L315" s="518"/>
      <c r="M315" s="518"/>
    </row>
    <row r="316" spans="1:27" s="141" customFormat="1" ht="18.75" hidden="1">
      <c r="A316" s="437" t="s">
        <v>318</v>
      </c>
      <c r="B316" s="430" t="s">
        <v>702</v>
      </c>
      <c r="C316" s="123">
        <v>1030702</v>
      </c>
      <c r="D316" s="123">
        <v>412</v>
      </c>
      <c r="E316" s="123">
        <v>282</v>
      </c>
      <c r="F316" s="123">
        <v>14</v>
      </c>
      <c r="G316" s="123"/>
      <c r="H316" s="269">
        <v>200</v>
      </c>
      <c r="I316" s="487">
        <v>69000000</v>
      </c>
      <c r="J316" s="472">
        <v>66000570</v>
      </c>
      <c r="K316" s="561">
        <v>191915000</v>
      </c>
      <c r="L316" s="519">
        <f t="shared" si="151"/>
        <v>95.653000000000006</v>
      </c>
      <c r="M316" s="519">
        <f t="shared" si="152"/>
        <v>34.390521845608731</v>
      </c>
      <c r="R316" s="385"/>
      <c r="S316" s="385"/>
      <c r="AA316" s="128"/>
    </row>
    <row r="317" spans="1:27" ht="18.75" hidden="1">
      <c r="A317" s="437" t="s">
        <v>319</v>
      </c>
      <c r="B317" s="430" t="s">
        <v>703</v>
      </c>
      <c r="C317" s="520"/>
      <c r="D317" s="520"/>
      <c r="E317" s="520"/>
      <c r="F317" s="520" t="s">
        <v>339</v>
      </c>
      <c r="G317" s="520"/>
      <c r="H317" s="521">
        <v>200</v>
      </c>
      <c r="I317" s="476">
        <v>65000000</v>
      </c>
      <c r="J317" s="472">
        <v>60092063</v>
      </c>
      <c r="K317" s="561">
        <v>55570000</v>
      </c>
      <c r="L317" s="519">
        <f t="shared" si="151"/>
        <v>92.449327692307691</v>
      </c>
      <c r="M317" s="519">
        <f t="shared" si="152"/>
        <v>108.13759762461761</v>
      </c>
    </row>
    <row r="318" spans="1:27" ht="18.75" hidden="1">
      <c r="A318" s="406" t="s">
        <v>320</v>
      </c>
      <c r="B318" s="430" t="s">
        <v>704</v>
      </c>
      <c r="C318" s="123">
        <v>1030702</v>
      </c>
      <c r="D318" s="123">
        <v>412</v>
      </c>
      <c r="E318" s="123">
        <v>282</v>
      </c>
      <c r="F318" s="123">
        <v>12</v>
      </c>
      <c r="G318" s="123"/>
      <c r="H318" s="269">
        <v>200</v>
      </c>
      <c r="I318" s="476">
        <v>54000000</v>
      </c>
      <c r="J318" s="472">
        <v>47000000</v>
      </c>
      <c r="K318" s="561">
        <v>94351905</v>
      </c>
      <c r="L318" s="519">
        <f t="shared" si="151"/>
        <v>87.037037037037038</v>
      </c>
      <c r="M318" s="519">
        <f t="shared" si="152"/>
        <v>49.813514629089894</v>
      </c>
    </row>
    <row r="319" spans="1:27" ht="37.5" hidden="1">
      <c r="A319" s="406" t="s">
        <v>312</v>
      </c>
      <c r="B319" s="430" t="s">
        <v>705</v>
      </c>
      <c r="C319" s="521"/>
      <c r="D319" s="521"/>
      <c r="E319" s="521"/>
      <c r="F319" s="521"/>
      <c r="G319" s="521"/>
      <c r="H319" s="521"/>
      <c r="I319" s="470">
        <v>0</v>
      </c>
      <c r="J319" s="472"/>
      <c r="K319" s="561">
        <v>108404500</v>
      </c>
      <c r="L319" s="519" t="e">
        <f t="shared" si="151"/>
        <v>#DIV/0!</v>
      </c>
      <c r="M319" s="519">
        <f t="shared" si="152"/>
        <v>0</v>
      </c>
    </row>
    <row r="320" spans="1:27" ht="18.75" hidden="1">
      <c r="A320" s="428" t="s">
        <v>780</v>
      </c>
      <c r="B320" s="454" t="s">
        <v>685</v>
      </c>
      <c r="C320" s="521"/>
      <c r="D320" s="521"/>
      <c r="E320" s="521"/>
      <c r="F320" s="521"/>
      <c r="G320" s="521"/>
      <c r="H320" s="521"/>
      <c r="I320" s="470">
        <f>+I321+I322</f>
        <v>61000000</v>
      </c>
      <c r="J320" s="470">
        <f t="shared" ref="J320:K320" si="173">+J321+J322</f>
        <v>53954964</v>
      </c>
      <c r="K320" s="470">
        <f t="shared" si="173"/>
        <v>83421000</v>
      </c>
      <c r="L320" s="519">
        <f t="shared" si="151"/>
        <v>88.45076065573771</v>
      </c>
      <c r="M320" s="519">
        <f t="shared" si="152"/>
        <v>64.677915632754349</v>
      </c>
    </row>
    <row r="321" spans="1:29" ht="37.5" hidden="1">
      <c r="A321" s="437"/>
      <c r="B321" s="430" t="s">
        <v>706</v>
      </c>
      <c r="C321" s="521"/>
      <c r="D321" s="521"/>
      <c r="E321" s="521"/>
      <c r="F321" s="521"/>
      <c r="G321" s="521"/>
      <c r="H321" s="521"/>
      <c r="I321" s="486">
        <v>0</v>
      </c>
      <c r="J321" s="472"/>
      <c r="K321" s="561">
        <v>83421000</v>
      </c>
      <c r="L321" s="519" t="e">
        <f t="shared" si="151"/>
        <v>#DIV/0!</v>
      </c>
      <c r="M321" s="519">
        <f t="shared" si="152"/>
        <v>0</v>
      </c>
    </row>
    <row r="322" spans="1:29" ht="33" hidden="1">
      <c r="A322" s="437"/>
      <c r="B322" s="613" t="s">
        <v>746</v>
      </c>
      <c r="C322" s="521"/>
      <c r="D322" s="521"/>
      <c r="E322" s="521"/>
      <c r="F322" s="521"/>
      <c r="G322" s="521"/>
      <c r="H322" s="521"/>
      <c r="I322" s="618">
        <v>61000000</v>
      </c>
      <c r="J322" s="618">
        <v>53954964</v>
      </c>
      <c r="K322" s="561"/>
      <c r="L322" s="519"/>
      <c r="M322" s="519"/>
    </row>
    <row r="323" spans="1:29" s="603" customFormat="1" ht="18.75" hidden="1">
      <c r="A323" s="607" t="s">
        <v>781</v>
      </c>
      <c r="B323" s="629" t="s">
        <v>779</v>
      </c>
      <c r="C323" s="685"/>
      <c r="D323" s="685"/>
      <c r="E323" s="685"/>
      <c r="F323" s="685"/>
      <c r="G323" s="685"/>
      <c r="H323" s="685"/>
      <c r="I323" s="679">
        <f>+I324</f>
        <v>123160000</v>
      </c>
      <c r="J323" s="679">
        <f t="shared" ref="J323:K323" si="174">+J324</f>
        <v>123160000</v>
      </c>
      <c r="K323" s="679">
        <f t="shared" si="174"/>
        <v>0</v>
      </c>
      <c r="L323" s="634"/>
      <c r="M323" s="634"/>
      <c r="R323" s="604"/>
      <c r="S323" s="604"/>
    </row>
    <row r="324" spans="1:29" ht="33" hidden="1">
      <c r="A324" s="437"/>
      <c r="B324" s="705" t="s">
        <v>774</v>
      </c>
      <c r="C324" s="521"/>
      <c r="D324" s="521"/>
      <c r="E324" s="521"/>
      <c r="F324" s="521"/>
      <c r="G324" s="521"/>
      <c r="H324" s="521"/>
      <c r="I324" s="678">
        <v>123160000</v>
      </c>
      <c r="J324" s="618">
        <v>123160000</v>
      </c>
      <c r="K324" s="561"/>
      <c r="L324" s="519"/>
      <c r="M324" s="519"/>
    </row>
    <row r="325" spans="1:29" s="141" customFormat="1" ht="18.75" hidden="1">
      <c r="A325" s="428">
        <v>4</v>
      </c>
      <c r="B325" s="429" t="s">
        <v>519</v>
      </c>
      <c r="C325" s="517"/>
      <c r="D325" s="517"/>
      <c r="E325" s="517"/>
      <c r="F325" s="517"/>
      <c r="G325" s="517"/>
      <c r="H325" s="517"/>
      <c r="I325" s="470">
        <f t="shared" ref="I325:K326" si="175">+I326</f>
        <v>58150000</v>
      </c>
      <c r="J325" s="470">
        <f t="shared" si="175"/>
        <v>50176704</v>
      </c>
      <c r="K325" s="556">
        <f t="shared" si="175"/>
        <v>160456689</v>
      </c>
      <c r="L325" s="519">
        <f t="shared" si="151"/>
        <v>86.288398968185732</v>
      </c>
      <c r="M325" s="519">
        <f t="shared" si="152"/>
        <v>31.271182468435455</v>
      </c>
      <c r="R325" s="385"/>
      <c r="S325" s="385"/>
      <c r="AA325" s="128"/>
    </row>
    <row r="326" spans="1:29" s="141" customFormat="1" ht="18.75" hidden="1">
      <c r="A326" s="428"/>
      <c r="B326" s="429" t="s">
        <v>514</v>
      </c>
      <c r="C326" s="517"/>
      <c r="D326" s="517"/>
      <c r="E326" s="517"/>
      <c r="F326" s="517"/>
      <c r="G326" s="517"/>
      <c r="H326" s="517"/>
      <c r="I326" s="470">
        <f t="shared" si="175"/>
        <v>58150000</v>
      </c>
      <c r="J326" s="470">
        <f t="shared" si="175"/>
        <v>50176704</v>
      </c>
      <c r="K326" s="556">
        <f t="shared" si="175"/>
        <v>160456689</v>
      </c>
      <c r="L326" s="519">
        <f t="shared" si="151"/>
        <v>86.288398968185732</v>
      </c>
      <c r="M326" s="519">
        <f t="shared" si="152"/>
        <v>31.271182468435455</v>
      </c>
      <c r="R326" s="385"/>
      <c r="S326" s="385"/>
      <c r="AA326" s="128"/>
    </row>
    <row r="327" spans="1:29" s="141" customFormat="1" ht="18.75" hidden="1">
      <c r="A327" s="428"/>
      <c r="B327" s="438" t="s">
        <v>45</v>
      </c>
      <c r="C327" s="517"/>
      <c r="D327" s="517"/>
      <c r="E327" s="517"/>
      <c r="F327" s="517"/>
      <c r="G327" s="517"/>
      <c r="H327" s="517"/>
      <c r="I327" s="591">
        <f>100000000-41850000</f>
        <v>58150000</v>
      </c>
      <c r="J327" s="591">
        <v>50176704</v>
      </c>
      <c r="K327" s="561">
        <v>160456689</v>
      </c>
      <c r="L327" s="519">
        <f t="shared" si="151"/>
        <v>86.288398968185732</v>
      </c>
      <c r="M327" s="519">
        <f t="shared" si="152"/>
        <v>31.271182468435455</v>
      </c>
      <c r="R327" s="385"/>
      <c r="S327" s="385"/>
      <c r="AA327" s="128"/>
    </row>
    <row r="328" spans="1:29" s="379" customFormat="1" ht="18.75" hidden="1">
      <c r="A328" s="433" t="s">
        <v>102</v>
      </c>
      <c r="B328" s="434" t="s">
        <v>306</v>
      </c>
      <c r="C328" s="269"/>
      <c r="D328" s="269"/>
      <c r="E328" s="269"/>
      <c r="F328" s="269"/>
      <c r="G328" s="269"/>
      <c r="H328" s="269"/>
      <c r="I328" s="484">
        <f>I329+I357+I361+I396</f>
        <v>26485653800</v>
      </c>
      <c r="J328" s="484">
        <f t="shared" ref="J328:K328" si="176">J329+J357+J361+J396</f>
        <v>23948773267</v>
      </c>
      <c r="K328" s="484">
        <f t="shared" si="176"/>
        <v>21082073888</v>
      </c>
      <c r="L328" s="518">
        <f t="shared" si="151"/>
        <v>90.421680536351346</v>
      </c>
      <c r="M328" s="518">
        <f t="shared" si="152"/>
        <v>113.59780538778843</v>
      </c>
      <c r="R328" s="393"/>
      <c r="S328" s="393"/>
      <c r="AA328" s="232">
        <v>26461653800</v>
      </c>
      <c r="AB328" s="232"/>
      <c r="AC328" s="232"/>
    </row>
    <row r="329" spans="1:29" s="268" customFormat="1" ht="18.75" hidden="1">
      <c r="A329" s="428">
        <v>1</v>
      </c>
      <c r="B329" s="429" t="s">
        <v>6</v>
      </c>
      <c r="C329" s="517"/>
      <c r="D329" s="517"/>
      <c r="E329" s="517"/>
      <c r="F329" s="517"/>
      <c r="G329" s="517"/>
      <c r="H329" s="517"/>
      <c r="I329" s="470">
        <f>I330+I341</f>
        <v>7179917800</v>
      </c>
      <c r="J329" s="470">
        <f t="shared" ref="J329:K329" si="177">J330+J341</f>
        <v>7087828401</v>
      </c>
      <c r="K329" s="470">
        <f t="shared" si="177"/>
        <v>6562522203</v>
      </c>
      <c r="L329" s="518">
        <f t="shared" si="151"/>
        <v>98.717403157456758</v>
      </c>
      <c r="M329" s="518">
        <f t="shared" si="152"/>
        <v>108.00463879207693</v>
      </c>
      <c r="R329" s="389"/>
      <c r="S329" s="389"/>
    </row>
    <row r="330" spans="1:29" s="268" customFormat="1" ht="18.75" hidden="1">
      <c r="A330" s="428" t="s">
        <v>8</v>
      </c>
      <c r="B330" s="421" t="s">
        <v>7</v>
      </c>
      <c r="C330" s="517"/>
      <c r="D330" s="517"/>
      <c r="E330" s="517"/>
      <c r="F330" s="517"/>
      <c r="G330" s="517"/>
      <c r="H330" s="517"/>
      <c r="I330" s="486">
        <f>I331+I339</f>
        <v>3125687800</v>
      </c>
      <c r="J330" s="486">
        <f t="shared" ref="J330:K330" si="178">J331+J339</f>
        <v>3117085221</v>
      </c>
      <c r="K330" s="486">
        <f t="shared" si="178"/>
        <v>2731331200</v>
      </c>
      <c r="L330" s="518">
        <f t="shared" si="151"/>
        <v>99.724778047250922</v>
      </c>
      <c r="M330" s="518">
        <f t="shared" si="152"/>
        <v>114.1232971307178</v>
      </c>
      <c r="R330" s="389"/>
      <c r="S330" s="389"/>
      <c r="AA330" s="227">
        <f>+AA328-I328</f>
        <v>-24000000</v>
      </c>
    </row>
    <row r="331" spans="1:29" ht="18.75" hidden="1">
      <c r="A331" s="428" t="s">
        <v>14</v>
      </c>
      <c r="B331" s="421" t="s">
        <v>67</v>
      </c>
      <c r="C331" s="530">
        <v>1110440</v>
      </c>
      <c r="D331" s="530">
        <v>412</v>
      </c>
      <c r="E331" s="530"/>
      <c r="F331" s="530"/>
      <c r="G331" s="530"/>
      <c r="H331" s="531"/>
      <c r="I331" s="486">
        <f>+I332+I338</f>
        <v>3125687800</v>
      </c>
      <c r="J331" s="486">
        <f t="shared" ref="J331:K331" si="179">+J332+J338</f>
        <v>3117085221</v>
      </c>
      <c r="K331" s="486">
        <f t="shared" si="179"/>
        <v>2547000000</v>
      </c>
      <c r="L331" s="518">
        <f t="shared" si="151"/>
        <v>99.724778047250922</v>
      </c>
      <c r="M331" s="518">
        <f t="shared" si="152"/>
        <v>122.3826156654888</v>
      </c>
      <c r="N331" s="129">
        <f>+I331+I416</f>
        <v>3185687800</v>
      </c>
      <c r="AA331" s="129">
        <f>+J328+J532</f>
        <v>23954584819</v>
      </c>
    </row>
    <row r="332" spans="1:29" ht="18.75" hidden="1">
      <c r="A332" s="437" t="s">
        <v>96</v>
      </c>
      <c r="B332" s="438" t="s">
        <v>46</v>
      </c>
      <c r="C332" s="123">
        <v>1110440</v>
      </c>
      <c r="D332" s="123">
        <v>412</v>
      </c>
      <c r="E332" s="123">
        <v>280</v>
      </c>
      <c r="F332" s="123"/>
      <c r="G332" s="123"/>
      <c r="H332" s="269"/>
      <c r="I332" s="487">
        <f>SUM(I333:I337)</f>
        <v>2906687800</v>
      </c>
      <c r="J332" s="487">
        <f t="shared" ref="J332:K332" si="180">SUM(J333:J337)</f>
        <v>2898085221</v>
      </c>
      <c r="K332" s="487">
        <f t="shared" si="180"/>
        <v>2309000000</v>
      </c>
      <c r="L332" s="518">
        <f t="shared" si="151"/>
        <v>99.704041865108465</v>
      </c>
      <c r="M332" s="518">
        <f t="shared" si="152"/>
        <v>125.51256912083153</v>
      </c>
    </row>
    <row r="333" spans="1:29" ht="18.75" hidden="1">
      <c r="A333" s="437"/>
      <c r="B333" s="439" t="s">
        <v>35</v>
      </c>
      <c r="C333" s="123"/>
      <c r="D333" s="123"/>
      <c r="E333" s="123"/>
      <c r="F333" s="123"/>
      <c r="G333" s="123"/>
      <c r="H333" s="269"/>
      <c r="I333" s="591">
        <f>1731000000</f>
        <v>1731000000</v>
      </c>
      <c r="J333" s="591">
        <f>1731000000</f>
        <v>1731000000</v>
      </c>
      <c r="K333" s="561">
        <v>1807000000</v>
      </c>
      <c r="L333" s="518">
        <f t="shared" si="151"/>
        <v>100</v>
      </c>
      <c r="M333" s="518">
        <f t="shared" si="152"/>
        <v>95.794133923630326</v>
      </c>
    </row>
    <row r="334" spans="1:29" ht="37.5" hidden="1">
      <c r="A334" s="437"/>
      <c r="B334" s="438" t="s">
        <v>766</v>
      </c>
      <c r="C334" s="625"/>
      <c r="D334" s="625"/>
      <c r="E334" s="625"/>
      <c r="F334" s="625"/>
      <c r="G334" s="625"/>
      <c r="H334" s="624"/>
      <c r="I334" s="591">
        <v>360000000</v>
      </c>
      <c r="J334" s="591">
        <v>360000000</v>
      </c>
      <c r="K334" s="561"/>
      <c r="L334" s="518"/>
      <c r="M334" s="518"/>
    </row>
    <row r="335" spans="1:29" ht="56.25" hidden="1">
      <c r="A335" s="437"/>
      <c r="B335" s="659" t="s">
        <v>759</v>
      </c>
      <c r="C335" s="625"/>
      <c r="D335" s="625"/>
      <c r="E335" s="625"/>
      <c r="F335" s="625"/>
      <c r="G335" s="625"/>
      <c r="H335" s="624"/>
      <c r="I335" s="591">
        <v>1768800</v>
      </c>
      <c r="J335" s="591">
        <v>1768800</v>
      </c>
      <c r="K335" s="561"/>
      <c r="L335" s="518"/>
      <c r="M335" s="518"/>
    </row>
    <row r="336" spans="1:29" ht="49.5" hidden="1">
      <c r="A336" s="437"/>
      <c r="B336" s="701" t="s">
        <v>762</v>
      </c>
      <c r="C336" s="606"/>
      <c r="D336" s="606"/>
      <c r="E336" s="606"/>
      <c r="F336" s="606"/>
      <c r="G336" s="606"/>
      <c r="H336" s="605"/>
      <c r="I336" s="591">
        <f>311919000</f>
        <v>311919000</v>
      </c>
      <c r="J336" s="591">
        <f>311919000-602579</f>
        <v>311316421</v>
      </c>
      <c r="K336" s="561"/>
      <c r="L336" s="518"/>
      <c r="M336" s="518"/>
      <c r="AA336" s="129"/>
    </row>
    <row r="337" spans="1:27" ht="18.75" hidden="1">
      <c r="A337" s="437"/>
      <c r="B337" s="439" t="s">
        <v>10</v>
      </c>
      <c r="C337" s="123">
        <v>1110440</v>
      </c>
      <c r="D337" s="123">
        <v>412</v>
      </c>
      <c r="E337" s="123">
        <v>283</v>
      </c>
      <c r="F337" s="123">
        <v>13</v>
      </c>
      <c r="G337" s="123"/>
      <c r="H337" s="269">
        <v>200</v>
      </c>
      <c r="I337" s="489">
        <v>502000000</v>
      </c>
      <c r="J337" s="716">
        <f>502000000-8000000</f>
        <v>494000000</v>
      </c>
      <c r="K337" s="561">
        <v>502000000</v>
      </c>
      <c r="L337" s="518">
        <f t="shared" si="151"/>
        <v>98.406374501992033</v>
      </c>
      <c r="M337" s="518">
        <f t="shared" si="152"/>
        <v>98.406374501992033</v>
      </c>
    </row>
    <row r="338" spans="1:27" ht="37.5" hidden="1">
      <c r="A338" s="437" t="s">
        <v>98</v>
      </c>
      <c r="B338" s="438" t="s">
        <v>352</v>
      </c>
      <c r="C338" s="520"/>
      <c r="D338" s="520"/>
      <c r="E338" s="520"/>
      <c r="F338" s="520"/>
      <c r="G338" s="520"/>
      <c r="H338" s="521"/>
      <c r="I338" s="489">
        <v>219000000</v>
      </c>
      <c r="J338" s="716">
        <v>219000000</v>
      </c>
      <c r="K338" s="561">
        <v>238000000</v>
      </c>
      <c r="L338" s="518">
        <f t="shared" ref="L338:L418" si="181">+J338/I338*100</f>
        <v>100</v>
      </c>
      <c r="M338" s="518">
        <f t="shared" ref="M338:M418" si="182">+J338/K338*100</f>
        <v>92.016806722689068</v>
      </c>
    </row>
    <row r="339" spans="1:27" ht="18.75" hidden="1">
      <c r="A339" s="428" t="s">
        <v>15</v>
      </c>
      <c r="B339" s="440" t="s">
        <v>69</v>
      </c>
      <c r="C339" s="404"/>
      <c r="D339" s="404"/>
      <c r="E339" s="404"/>
      <c r="F339" s="404"/>
      <c r="G339" s="404"/>
      <c r="H339" s="517"/>
      <c r="I339" s="470">
        <f t="shared" ref="I339:K339" si="183">I340</f>
        <v>0</v>
      </c>
      <c r="J339" s="470">
        <f t="shared" si="183"/>
        <v>0</v>
      </c>
      <c r="K339" s="556">
        <f t="shared" si="183"/>
        <v>184331200</v>
      </c>
      <c r="L339" s="519" t="e">
        <f t="shared" si="181"/>
        <v>#DIV/0!</v>
      </c>
      <c r="M339" s="519">
        <f t="shared" si="182"/>
        <v>0</v>
      </c>
    </row>
    <row r="340" spans="1:27" ht="37.5" hidden="1">
      <c r="A340" s="428"/>
      <c r="B340" s="438" t="s">
        <v>512</v>
      </c>
      <c r="C340" s="404"/>
      <c r="D340" s="404"/>
      <c r="E340" s="404"/>
      <c r="F340" s="404"/>
      <c r="G340" s="404"/>
      <c r="H340" s="517"/>
      <c r="I340" s="591">
        <f>361768800-360000000-1768800</f>
        <v>0</v>
      </c>
      <c r="J340" s="472"/>
      <c r="K340" s="561">
        <v>184331200</v>
      </c>
      <c r="L340" s="519" t="e">
        <f t="shared" si="181"/>
        <v>#DIV/0!</v>
      </c>
      <c r="M340" s="519">
        <f t="shared" si="182"/>
        <v>0</v>
      </c>
    </row>
    <row r="341" spans="1:27" s="603" customFormat="1" ht="18.75" hidden="1">
      <c r="A341" s="607" t="s">
        <v>9</v>
      </c>
      <c r="B341" s="597" t="s">
        <v>608</v>
      </c>
      <c r="C341" s="630"/>
      <c r="D341" s="630"/>
      <c r="E341" s="630"/>
      <c r="F341" s="630"/>
      <c r="G341" s="630"/>
      <c r="H341" s="631"/>
      <c r="I341" s="676">
        <f>+I342+I352+I355</f>
        <v>4054230000</v>
      </c>
      <c r="J341" s="676">
        <f t="shared" ref="J341:K341" si="184">+J342+J352+J355</f>
        <v>3970743180</v>
      </c>
      <c r="K341" s="676">
        <f t="shared" si="184"/>
        <v>3831191003</v>
      </c>
      <c r="L341" s="634"/>
      <c r="M341" s="634"/>
      <c r="R341" s="604"/>
      <c r="S341" s="604"/>
    </row>
    <row r="342" spans="1:27" s="145" customFormat="1" ht="18.75" hidden="1">
      <c r="A342" s="428" t="s">
        <v>770</v>
      </c>
      <c r="B342" s="421" t="s">
        <v>771</v>
      </c>
      <c r="C342" s="123">
        <v>1110440</v>
      </c>
      <c r="D342" s="123">
        <v>412</v>
      </c>
      <c r="E342" s="123">
        <v>283</v>
      </c>
      <c r="F342" s="123">
        <v>14</v>
      </c>
      <c r="G342" s="123"/>
      <c r="H342" s="269">
        <v>200</v>
      </c>
      <c r="I342" s="486">
        <f>+I343+I344+I351</f>
        <v>3856000000</v>
      </c>
      <c r="J342" s="486">
        <f t="shared" ref="J342:K342" si="185">+J343+J344+J351</f>
        <v>3772613180</v>
      </c>
      <c r="K342" s="486">
        <f t="shared" si="185"/>
        <v>3831191003</v>
      </c>
      <c r="L342" s="518">
        <f t="shared" si="181"/>
        <v>97.837478734439827</v>
      </c>
      <c r="M342" s="518">
        <f t="shared" si="182"/>
        <v>98.471028383755055</v>
      </c>
      <c r="R342" s="386"/>
      <c r="S342" s="386"/>
      <c r="AA342" s="128"/>
    </row>
    <row r="343" spans="1:27" ht="18.75" hidden="1">
      <c r="A343" s="437" t="s">
        <v>14</v>
      </c>
      <c r="B343" s="441" t="s">
        <v>36</v>
      </c>
      <c r="C343" s="404"/>
      <c r="D343" s="404"/>
      <c r="E343" s="404"/>
      <c r="F343" s="520" t="s">
        <v>339</v>
      </c>
      <c r="G343" s="404"/>
      <c r="H343" s="517"/>
      <c r="I343" s="472">
        <v>54000000</v>
      </c>
      <c r="J343" s="716">
        <v>53773470</v>
      </c>
      <c r="K343" s="561">
        <v>54000000</v>
      </c>
      <c r="L343" s="518">
        <f t="shared" si="181"/>
        <v>99.580500000000001</v>
      </c>
      <c r="M343" s="518">
        <f t="shared" si="182"/>
        <v>99.580500000000001</v>
      </c>
    </row>
    <row r="344" spans="1:27" ht="18.75" hidden="1">
      <c r="A344" s="437" t="s">
        <v>15</v>
      </c>
      <c r="B344" s="441" t="s">
        <v>446</v>
      </c>
      <c r="C344" s="123">
        <v>1110440</v>
      </c>
      <c r="D344" s="123">
        <v>412</v>
      </c>
      <c r="E344" s="123">
        <v>283</v>
      </c>
      <c r="F344" s="123">
        <v>12</v>
      </c>
      <c r="G344" s="123"/>
      <c r="H344" s="269">
        <v>200</v>
      </c>
      <c r="I344" s="488">
        <f>SUM(I345:I350)</f>
        <v>3802000000</v>
      </c>
      <c r="J344" s="488">
        <f t="shared" ref="J344:K344" si="186">SUM(J345:J350)</f>
        <v>3718839710</v>
      </c>
      <c r="K344" s="488">
        <f t="shared" si="186"/>
        <v>3666352883</v>
      </c>
      <c r="L344" s="518">
        <f t="shared" si="181"/>
        <v>97.81272251446606</v>
      </c>
      <c r="M344" s="518">
        <f t="shared" si="182"/>
        <v>101.43158142914635</v>
      </c>
    </row>
    <row r="345" spans="1:27" ht="18.75" hidden="1">
      <c r="A345" s="437"/>
      <c r="B345" s="438" t="s">
        <v>351</v>
      </c>
      <c r="C345" s="404"/>
      <c r="D345" s="404"/>
      <c r="E345" s="404"/>
      <c r="F345" s="404"/>
      <c r="G345" s="404"/>
      <c r="H345" s="517"/>
      <c r="I345" s="472">
        <v>41000000</v>
      </c>
      <c r="J345" s="716">
        <v>31437680</v>
      </c>
      <c r="K345" s="561">
        <v>33027000</v>
      </c>
      <c r="L345" s="518">
        <f t="shared" si="181"/>
        <v>76.677268292682925</v>
      </c>
      <c r="M345" s="518">
        <f t="shared" si="182"/>
        <v>95.18781602930936</v>
      </c>
    </row>
    <row r="346" spans="1:27" ht="18.75" hidden="1">
      <c r="A346" s="437"/>
      <c r="B346" s="449" t="s">
        <v>357</v>
      </c>
      <c r="C346" s="404"/>
      <c r="D346" s="404"/>
      <c r="E346" s="404"/>
      <c r="F346" s="404"/>
      <c r="G346" s="404"/>
      <c r="H346" s="517"/>
      <c r="I346" s="587">
        <f>16000000*0</f>
        <v>0</v>
      </c>
      <c r="J346" s="472"/>
      <c r="K346" s="561">
        <v>18035000</v>
      </c>
      <c r="L346" s="519" t="e">
        <f t="shared" si="181"/>
        <v>#DIV/0!</v>
      </c>
      <c r="M346" s="519">
        <f t="shared" si="182"/>
        <v>0</v>
      </c>
    </row>
    <row r="347" spans="1:27" s="145" customFormat="1" ht="18.75" hidden="1">
      <c r="A347" s="437"/>
      <c r="B347" s="438" t="s">
        <v>350</v>
      </c>
      <c r="C347" s="123"/>
      <c r="D347" s="123"/>
      <c r="E347" s="123"/>
      <c r="F347" s="123"/>
      <c r="G347" s="123"/>
      <c r="H347" s="269"/>
      <c r="I347" s="472">
        <v>10000000</v>
      </c>
      <c r="J347" s="716">
        <v>9862000</v>
      </c>
      <c r="K347" s="561">
        <v>10000000</v>
      </c>
      <c r="L347" s="519">
        <f t="shared" si="181"/>
        <v>98.61999999999999</v>
      </c>
      <c r="M347" s="519">
        <f t="shared" si="182"/>
        <v>98.61999999999999</v>
      </c>
      <c r="R347" s="386"/>
      <c r="S347" s="386"/>
      <c r="AA347" s="128"/>
    </row>
    <row r="348" spans="1:27" ht="18.75" hidden="1">
      <c r="A348" s="437"/>
      <c r="B348" s="449" t="s">
        <v>448</v>
      </c>
      <c r="C348" s="404"/>
      <c r="D348" s="404"/>
      <c r="E348" s="404"/>
      <c r="F348" s="404"/>
      <c r="G348" s="404"/>
      <c r="H348" s="517"/>
      <c r="I348" s="619">
        <f>149000000-26000000</f>
        <v>123000000</v>
      </c>
      <c r="J348" s="717">
        <v>96175360</v>
      </c>
      <c r="K348" s="561">
        <v>138780100</v>
      </c>
      <c r="L348" s="518">
        <f t="shared" si="181"/>
        <v>78.191349593495943</v>
      </c>
      <c r="M348" s="518">
        <f t="shared" si="182"/>
        <v>69.300540927697853</v>
      </c>
    </row>
    <row r="349" spans="1:27" ht="18.75" hidden="1">
      <c r="A349" s="437"/>
      <c r="B349" s="449" t="s">
        <v>47</v>
      </c>
      <c r="C349" s="404"/>
      <c r="D349" s="404"/>
      <c r="E349" s="404"/>
      <c r="F349" s="404"/>
      <c r="G349" s="404"/>
      <c r="H349" s="517"/>
      <c r="I349" s="721">
        <f>3628000000+89200000*0</f>
        <v>3628000000</v>
      </c>
      <c r="J349" s="717">
        <f>3670564670-89200000</f>
        <v>3581364670</v>
      </c>
      <c r="K349" s="561">
        <v>3466510783</v>
      </c>
      <c r="L349" s="518">
        <f t="shared" si="181"/>
        <v>98.714571940463074</v>
      </c>
      <c r="M349" s="518">
        <f t="shared" si="182"/>
        <v>103.31324187893057</v>
      </c>
      <c r="AA349" s="722"/>
    </row>
    <row r="350" spans="1:27" ht="18.75" hidden="1">
      <c r="A350" s="437"/>
      <c r="B350" s="438" t="s">
        <v>506</v>
      </c>
      <c r="C350" s="404"/>
      <c r="D350" s="404"/>
      <c r="E350" s="404"/>
      <c r="F350" s="404"/>
      <c r="G350" s="404"/>
      <c r="H350" s="517"/>
      <c r="I350" s="587"/>
      <c r="J350" s="472"/>
      <c r="K350" s="561"/>
      <c r="L350" s="519" t="e">
        <f t="shared" si="181"/>
        <v>#DIV/0!</v>
      </c>
      <c r="M350" s="519" t="e">
        <f t="shared" si="182"/>
        <v>#DIV/0!</v>
      </c>
    </row>
    <row r="351" spans="1:27" ht="37.5" hidden="1">
      <c r="A351" s="435" t="s">
        <v>24</v>
      </c>
      <c r="B351" s="448" t="s">
        <v>707</v>
      </c>
      <c r="C351" s="404"/>
      <c r="D351" s="404"/>
      <c r="E351" s="404"/>
      <c r="F351" s="404"/>
      <c r="G351" s="404"/>
      <c r="H351" s="517"/>
      <c r="I351" s="486">
        <v>0</v>
      </c>
      <c r="J351" s="472"/>
      <c r="K351" s="561">
        <v>110838120</v>
      </c>
      <c r="L351" s="519" t="e">
        <f t="shared" si="181"/>
        <v>#DIV/0!</v>
      </c>
      <c r="M351" s="519">
        <f t="shared" si="182"/>
        <v>0</v>
      </c>
    </row>
    <row r="352" spans="1:27" s="603" customFormat="1" ht="19.5" hidden="1">
      <c r="A352" s="596" t="s">
        <v>775</v>
      </c>
      <c r="B352" s="629" t="s">
        <v>751</v>
      </c>
      <c r="C352" s="630"/>
      <c r="D352" s="630"/>
      <c r="E352" s="630"/>
      <c r="F352" s="630"/>
      <c r="G352" s="630"/>
      <c r="H352" s="631"/>
      <c r="I352" s="632">
        <f>SUM(I353:I354)</f>
        <v>114200000</v>
      </c>
      <c r="J352" s="632">
        <f>SUM(J353:J354)</f>
        <v>114100000</v>
      </c>
      <c r="K352" s="632">
        <f t="shared" ref="K352" si="187">+K353</f>
        <v>0</v>
      </c>
      <c r="L352" s="634"/>
      <c r="M352" s="634"/>
      <c r="R352" s="604"/>
      <c r="S352" s="604"/>
    </row>
    <row r="353" spans="1:27" ht="19.5" hidden="1">
      <c r="A353" s="435"/>
      <c r="B353" s="626" t="s">
        <v>749</v>
      </c>
      <c r="C353" s="404"/>
      <c r="D353" s="404"/>
      <c r="E353" s="404"/>
      <c r="F353" s="404"/>
      <c r="G353" s="404"/>
      <c r="H353" s="517"/>
      <c r="I353" s="628">
        <v>25000000</v>
      </c>
      <c r="J353" s="717">
        <v>24900000</v>
      </c>
      <c r="K353" s="561"/>
      <c r="L353" s="519"/>
      <c r="M353" s="519"/>
    </row>
    <row r="354" spans="1:27" ht="19.5" hidden="1">
      <c r="A354" s="435"/>
      <c r="B354" s="438" t="s">
        <v>791</v>
      </c>
      <c r="C354" s="404"/>
      <c r="D354" s="404"/>
      <c r="E354" s="404"/>
      <c r="F354" s="404"/>
      <c r="G354" s="404"/>
      <c r="H354" s="517"/>
      <c r="I354" s="628">
        <v>89200000</v>
      </c>
      <c r="J354" s="717">
        <v>89200000</v>
      </c>
      <c r="K354" s="561"/>
      <c r="L354" s="519"/>
      <c r="M354" s="519"/>
    </row>
    <row r="355" spans="1:27" s="603" customFormat="1" ht="19.5" hidden="1">
      <c r="A355" s="596" t="s">
        <v>776</v>
      </c>
      <c r="B355" s="629" t="s">
        <v>779</v>
      </c>
      <c r="C355" s="630"/>
      <c r="D355" s="630"/>
      <c r="E355" s="630"/>
      <c r="F355" s="630"/>
      <c r="G355" s="630"/>
      <c r="H355" s="631"/>
      <c r="I355" s="632">
        <f>+I356</f>
        <v>84030000</v>
      </c>
      <c r="J355" s="632">
        <f t="shared" ref="J355:K355" si="188">+J356</f>
        <v>84030000</v>
      </c>
      <c r="K355" s="632">
        <f t="shared" si="188"/>
        <v>0</v>
      </c>
      <c r="L355" s="634"/>
      <c r="M355" s="634"/>
      <c r="R355" s="604"/>
      <c r="S355" s="604"/>
    </row>
    <row r="356" spans="1:27" ht="33" hidden="1">
      <c r="A356" s="435"/>
      <c r="B356" s="705" t="s">
        <v>774</v>
      </c>
      <c r="C356" s="404"/>
      <c r="D356" s="404"/>
      <c r="E356" s="404"/>
      <c r="F356" s="404"/>
      <c r="G356" s="404"/>
      <c r="H356" s="517"/>
      <c r="I356" s="628">
        <v>84030000</v>
      </c>
      <c r="J356" s="718">
        <v>84030000</v>
      </c>
      <c r="K356" s="561"/>
      <c r="L356" s="519"/>
      <c r="M356" s="519"/>
    </row>
    <row r="357" spans="1:27" s="147" customFormat="1" ht="19.5" hidden="1">
      <c r="A357" s="435">
        <v>2</v>
      </c>
      <c r="B357" s="421" t="s">
        <v>537</v>
      </c>
      <c r="C357" s="542"/>
      <c r="D357" s="542"/>
      <c r="E357" s="542"/>
      <c r="F357" s="542"/>
      <c r="G357" s="542"/>
      <c r="H357" s="543"/>
      <c r="I357" s="475">
        <f t="shared" ref="I357:K357" si="189">SUM(I358:I360)</f>
        <v>75600000</v>
      </c>
      <c r="J357" s="475">
        <f t="shared" si="189"/>
        <v>75600000</v>
      </c>
      <c r="K357" s="553">
        <f t="shared" si="189"/>
        <v>73500000</v>
      </c>
      <c r="L357" s="518">
        <f t="shared" si="181"/>
        <v>100</v>
      </c>
      <c r="M357" s="518">
        <f t="shared" si="182"/>
        <v>102.85714285714285</v>
      </c>
      <c r="R357" s="387"/>
      <c r="S357" s="387"/>
      <c r="AA357" s="128"/>
    </row>
    <row r="358" spans="1:27" s="171" customFormat="1" ht="19.5" hidden="1">
      <c r="A358" s="435"/>
      <c r="B358" s="439" t="s">
        <v>547</v>
      </c>
      <c r="C358" s="544"/>
      <c r="D358" s="544"/>
      <c r="E358" s="544"/>
      <c r="F358" s="544"/>
      <c r="G358" s="544"/>
      <c r="H358" s="545"/>
      <c r="I358" s="487">
        <v>42700000</v>
      </c>
      <c r="J358" s="472">
        <v>42700000</v>
      </c>
      <c r="K358" s="561">
        <v>42700000</v>
      </c>
      <c r="L358" s="518">
        <f t="shared" si="181"/>
        <v>100</v>
      </c>
      <c r="M358" s="518">
        <f t="shared" si="182"/>
        <v>100</v>
      </c>
      <c r="R358" s="391"/>
      <c r="S358" s="391"/>
      <c r="AA358" s="128"/>
    </row>
    <row r="359" spans="1:27" ht="37.5" hidden="1">
      <c r="A359" s="435"/>
      <c r="B359" s="439" t="s">
        <v>541</v>
      </c>
      <c r="C359" s="546">
        <v>1030253</v>
      </c>
      <c r="D359" s="546">
        <v>412</v>
      </c>
      <c r="E359" s="546"/>
      <c r="F359" s="546"/>
      <c r="G359" s="546"/>
      <c r="H359" s="547"/>
      <c r="I359" s="476">
        <v>1400000</v>
      </c>
      <c r="J359" s="472">
        <v>1400000</v>
      </c>
      <c r="K359" s="561"/>
      <c r="L359" s="518">
        <f t="shared" si="181"/>
        <v>100</v>
      </c>
      <c r="M359" s="519" t="e">
        <f t="shared" si="182"/>
        <v>#DIV/0!</v>
      </c>
    </row>
    <row r="360" spans="1:27" ht="37.5" hidden="1">
      <c r="A360" s="435"/>
      <c r="B360" s="439" t="s">
        <v>548</v>
      </c>
      <c r="C360" s="123">
        <v>1030253</v>
      </c>
      <c r="D360" s="123">
        <v>412</v>
      </c>
      <c r="E360" s="536" t="s">
        <v>378</v>
      </c>
      <c r="F360" s="123">
        <v>12</v>
      </c>
      <c r="G360" s="536" t="s">
        <v>159</v>
      </c>
      <c r="H360" s="269">
        <v>100</v>
      </c>
      <c r="I360" s="472">
        <v>31500000</v>
      </c>
      <c r="J360" s="472">
        <v>31500000</v>
      </c>
      <c r="K360" s="561">
        <v>30800000</v>
      </c>
      <c r="L360" s="518">
        <f t="shared" si="181"/>
        <v>100</v>
      </c>
      <c r="M360" s="518">
        <f t="shared" si="182"/>
        <v>102.27272727272727</v>
      </c>
    </row>
    <row r="361" spans="1:27" s="141" customFormat="1" ht="18.75" hidden="1">
      <c r="A361" s="428">
        <v>3</v>
      </c>
      <c r="B361" s="429" t="s">
        <v>34</v>
      </c>
      <c r="C361" s="548"/>
      <c r="D361" s="548"/>
      <c r="E361" s="548"/>
      <c r="F361" s="548"/>
      <c r="G361" s="548"/>
      <c r="H361" s="548"/>
      <c r="I361" s="470">
        <f>+I362+I372</f>
        <v>19110136000</v>
      </c>
      <c r="J361" s="470">
        <f t="shared" ref="J361:K361" si="190">+J362+J372</f>
        <v>16667000194</v>
      </c>
      <c r="K361" s="470">
        <f t="shared" si="190"/>
        <v>14330212013</v>
      </c>
      <c r="L361" s="518">
        <f t="shared" si="181"/>
        <v>87.215497545386384</v>
      </c>
      <c r="M361" s="518">
        <f t="shared" si="182"/>
        <v>116.30672441468504</v>
      </c>
      <c r="R361" s="385"/>
      <c r="S361" s="385"/>
      <c r="AA361" s="128"/>
    </row>
    <row r="362" spans="1:27" ht="18" hidden="1" customHeight="1">
      <c r="A362" s="428" t="s">
        <v>623</v>
      </c>
      <c r="B362" s="421" t="s">
        <v>7</v>
      </c>
      <c r="C362" s="549"/>
      <c r="D362" s="549"/>
      <c r="E362" s="549" t="s">
        <v>497</v>
      </c>
      <c r="F362" s="521">
        <v>12</v>
      </c>
      <c r="G362" s="549" t="s">
        <v>172</v>
      </c>
      <c r="H362" s="521">
        <v>100</v>
      </c>
      <c r="I362" s="486">
        <f>I363+I370</f>
        <v>6425727000</v>
      </c>
      <c r="J362" s="486">
        <f t="shared" ref="J362:K362" si="191">J363+J370</f>
        <v>6409727000</v>
      </c>
      <c r="K362" s="486">
        <f t="shared" si="191"/>
        <v>5453000000</v>
      </c>
      <c r="L362" s="518">
        <f t="shared" si="181"/>
        <v>99.751000937325855</v>
      </c>
      <c r="M362" s="518">
        <f t="shared" si="182"/>
        <v>117.54496607372089</v>
      </c>
    </row>
    <row r="363" spans="1:27" ht="18" hidden="1" customHeight="1">
      <c r="A363" s="428" t="s">
        <v>14</v>
      </c>
      <c r="B363" s="421" t="s">
        <v>67</v>
      </c>
      <c r="C363" s="549"/>
      <c r="D363" s="549"/>
      <c r="E363" s="549"/>
      <c r="F363" s="549"/>
      <c r="G363" s="549"/>
      <c r="H363" s="521"/>
      <c r="I363" s="486">
        <f t="shared" ref="I363:K363" si="192">I364</f>
        <v>6425727000</v>
      </c>
      <c r="J363" s="486">
        <f t="shared" si="192"/>
        <v>6409727000</v>
      </c>
      <c r="K363" s="486">
        <f t="shared" si="192"/>
        <v>5070000000</v>
      </c>
      <c r="L363" s="518">
        <f t="shared" si="181"/>
        <v>99.751000937325855</v>
      </c>
      <c r="M363" s="518">
        <f t="shared" si="182"/>
        <v>126.4245956607495</v>
      </c>
    </row>
    <row r="364" spans="1:27" s="141" customFormat="1" ht="18.75" hidden="1">
      <c r="A364" s="428"/>
      <c r="B364" s="438" t="s">
        <v>73</v>
      </c>
      <c r="C364" s="548"/>
      <c r="D364" s="548"/>
      <c r="E364" s="548"/>
      <c r="F364" s="548"/>
      <c r="G364" s="548"/>
      <c r="H364" s="548"/>
      <c r="I364" s="487">
        <f>SUM(I365:I369)</f>
        <v>6425727000</v>
      </c>
      <c r="J364" s="487">
        <f t="shared" ref="J364:K364" si="193">SUM(J365:J369)</f>
        <v>6409727000</v>
      </c>
      <c r="K364" s="487">
        <f t="shared" si="193"/>
        <v>5070000000</v>
      </c>
      <c r="L364" s="518">
        <f t="shared" si="181"/>
        <v>99.751000937325855</v>
      </c>
      <c r="M364" s="518">
        <f t="shared" si="182"/>
        <v>126.4245956607495</v>
      </c>
      <c r="R364" s="385"/>
      <c r="S364" s="385"/>
      <c r="AA364" s="128"/>
    </row>
    <row r="365" spans="1:27" ht="41.25" hidden="1" customHeight="1">
      <c r="A365" s="428"/>
      <c r="B365" s="439" t="s">
        <v>48</v>
      </c>
      <c r="C365" s="549"/>
      <c r="D365" s="549"/>
      <c r="E365" s="549"/>
      <c r="F365" s="549"/>
      <c r="G365" s="549"/>
      <c r="H365" s="521"/>
      <c r="I365" s="591">
        <f>3854000000</f>
        <v>3854000000</v>
      </c>
      <c r="J365" s="591">
        <f>3854000000</f>
        <v>3854000000</v>
      </c>
      <c r="K365" s="561">
        <v>3967000000</v>
      </c>
      <c r="L365" s="518">
        <f t="shared" si="181"/>
        <v>100</v>
      </c>
      <c r="M365" s="518">
        <f t="shared" si="182"/>
        <v>97.151499873960162</v>
      </c>
      <c r="AA365" s="129"/>
    </row>
    <row r="366" spans="1:27" ht="41.25" hidden="1" customHeight="1">
      <c r="A366" s="428"/>
      <c r="B366" s="438" t="s">
        <v>767</v>
      </c>
      <c r="C366" s="549"/>
      <c r="D366" s="549"/>
      <c r="E366" s="549"/>
      <c r="F366" s="549"/>
      <c r="G366" s="549"/>
      <c r="H366" s="521"/>
      <c r="I366" s="591">
        <v>802000000</v>
      </c>
      <c r="J366" s="591">
        <v>802000000</v>
      </c>
      <c r="K366" s="561"/>
      <c r="L366" s="518"/>
      <c r="M366" s="518"/>
    </row>
    <row r="367" spans="1:27" ht="64.5" hidden="1" customHeight="1">
      <c r="A367" s="428"/>
      <c r="B367" s="659" t="s">
        <v>759</v>
      </c>
      <c r="C367" s="549"/>
      <c r="D367" s="549"/>
      <c r="E367" s="549"/>
      <c r="F367" s="549"/>
      <c r="G367" s="549"/>
      <c r="H367" s="521"/>
      <c r="I367" s="591">
        <v>0</v>
      </c>
      <c r="J367" s="591">
        <v>0</v>
      </c>
      <c r="K367" s="561"/>
      <c r="L367" s="518"/>
      <c r="M367" s="518"/>
    </row>
    <row r="368" spans="1:27" ht="41.25" hidden="1" customHeight="1">
      <c r="A368" s="428"/>
      <c r="B368" s="701" t="s">
        <v>762</v>
      </c>
      <c r="C368" s="549"/>
      <c r="D368" s="549"/>
      <c r="E368" s="549"/>
      <c r="F368" s="549"/>
      <c r="G368" s="549"/>
      <c r="H368" s="521"/>
      <c r="I368" s="591">
        <v>701727000</v>
      </c>
      <c r="J368" s="591">
        <v>701727000</v>
      </c>
      <c r="K368" s="561"/>
      <c r="L368" s="518"/>
      <c r="M368" s="518"/>
    </row>
    <row r="369" spans="1:27" ht="18.75" hidden="1">
      <c r="A369" s="428"/>
      <c r="B369" s="439" t="s">
        <v>10</v>
      </c>
      <c r="C369" s="123">
        <v>1030253</v>
      </c>
      <c r="D369" s="123">
        <v>412</v>
      </c>
      <c r="E369" s="123"/>
      <c r="F369" s="123"/>
      <c r="G369" s="536" t="s">
        <v>176</v>
      </c>
      <c r="H369" s="269"/>
      <c r="I369" s="487">
        <v>1068000000</v>
      </c>
      <c r="J369" s="716">
        <f>1068000000-16000000</f>
        <v>1052000000</v>
      </c>
      <c r="K369" s="561">
        <v>1103000000</v>
      </c>
      <c r="L369" s="518">
        <f t="shared" si="181"/>
        <v>98.50187265917603</v>
      </c>
      <c r="M369" s="518">
        <f t="shared" si="182"/>
        <v>95.376246600181318</v>
      </c>
    </row>
    <row r="370" spans="1:27" s="141" customFormat="1" ht="18.75" hidden="1">
      <c r="A370" s="428" t="s">
        <v>15</v>
      </c>
      <c r="B370" s="421" t="s">
        <v>69</v>
      </c>
      <c r="C370" s="123">
        <v>1030253</v>
      </c>
      <c r="D370" s="123">
        <v>412</v>
      </c>
      <c r="E370" s="123">
        <v>280</v>
      </c>
      <c r="F370" s="123">
        <v>12</v>
      </c>
      <c r="G370" s="536" t="s">
        <v>180</v>
      </c>
      <c r="H370" s="269">
        <v>100</v>
      </c>
      <c r="I370" s="470">
        <f t="shared" ref="I370:K370" si="194">I371</f>
        <v>0</v>
      </c>
      <c r="J370" s="470">
        <f t="shared" si="194"/>
        <v>0</v>
      </c>
      <c r="K370" s="556">
        <f t="shared" si="194"/>
        <v>383000000</v>
      </c>
      <c r="L370" s="519" t="e">
        <f t="shared" si="181"/>
        <v>#DIV/0!</v>
      </c>
      <c r="M370" s="519">
        <f t="shared" si="182"/>
        <v>0</v>
      </c>
      <c r="R370" s="385"/>
      <c r="S370" s="385"/>
      <c r="AA370" s="128"/>
    </row>
    <row r="371" spans="1:27" ht="37.5" hidden="1">
      <c r="A371" s="428"/>
      <c r="B371" s="438" t="s">
        <v>520</v>
      </c>
      <c r="C371" s="520"/>
      <c r="D371" s="520"/>
      <c r="E371" s="520"/>
      <c r="F371" s="520"/>
      <c r="G371" s="520"/>
      <c r="H371" s="521"/>
      <c r="I371" s="591">
        <f>802000000*0</f>
        <v>0</v>
      </c>
      <c r="J371" s="472"/>
      <c r="K371" s="561">
        <v>383000000</v>
      </c>
      <c r="L371" s="519" t="e">
        <f t="shared" si="181"/>
        <v>#DIV/0!</v>
      </c>
      <c r="M371" s="519">
        <f t="shared" si="182"/>
        <v>0</v>
      </c>
    </row>
    <row r="372" spans="1:27" s="603" customFormat="1" ht="18.75" hidden="1">
      <c r="A372" s="607" t="s">
        <v>624</v>
      </c>
      <c r="B372" s="597" t="s">
        <v>608</v>
      </c>
      <c r="C372" s="686"/>
      <c r="D372" s="686"/>
      <c r="E372" s="686"/>
      <c r="F372" s="686"/>
      <c r="G372" s="686"/>
      <c r="H372" s="685"/>
      <c r="I372" s="676">
        <f>+I373+I394</f>
        <v>12684409000</v>
      </c>
      <c r="J372" s="676">
        <f t="shared" ref="J372:K372" si="195">+J373+J394</f>
        <v>10257273194</v>
      </c>
      <c r="K372" s="676">
        <f t="shared" si="195"/>
        <v>8877212013</v>
      </c>
      <c r="L372" s="634"/>
      <c r="M372" s="634"/>
      <c r="R372" s="604"/>
      <c r="S372" s="604"/>
    </row>
    <row r="373" spans="1:27" s="141" customFormat="1" ht="18.75" hidden="1">
      <c r="A373" s="428" t="s">
        <v>778</v>
      </c>
      <c r="B373" s="421" t="s">
        <v>771</v>
      </c>
      <c r="C373" s="520"/>
      <c r="D373" s="520"/>
      <c r="E373" s="520">
        <v>281</v>
      </c>
      <c r="F373" s="520">
        <v>12</v>
      </c>
      <c r="G373" s="520" t="s">
        <v>180</v>
      </c>
      <c r="H373" s="521">
        <v>100</v>
      </c>
      <c r="I373" s="486">
        <f>SUM(I374:I382)+SUM(I386:I393)</f>
        <v>12470074000</v>
      </c>
      <c r="J373" s="486">
        <f t="shared" ref="J373:K373" si="196">SUM(J374:J382)+SUM(J386:J393)</f>
        <v>10042938194</v>
      </c>
      <c r="K373" s="486">
        <f t="shared" si="196"/>
        <v>8877212013</v>
      </c>
      <c r="L373" s="518">
        <f t="shared" si="181"/>
        <v>80.536315935254279</v>
      </c>
      <c r="M373" s="518">
        <f t="shared" si="182"/>
        <v>113.13166993525539</v>
      </c>
      <c r="R373" s="385"/>
      <c r="S373" s="385"/>
      <c r="AA373" s="128"/>
    </row>
    <row r="374" spans="1:27" s="141" customFormat="1" ht="18.75" hidden="1">
      <c r="A374" s="437" t="s">
        <v>14</v>
      </c>
      <c r="B374" s="438" t="s">
        <v>49</v>
      </c>
      <c r="C374" s="123">
        <v>1030253</v>
      </c>
      <c r="D374" s="123">
        <v>412</v>
      </c>
      <c r="E374" s="123">
        <v>250</v>
      </c>
      <c r="F374" s="123">
        <v>12</v>
      </c>
      <c r="G374" s="536" t="s">
        <v>186</v>
      </c>
      <c r="H374" s="269">
        <v>100</v>
      </c>
      <c r="I374" s="489">
        <v>2031000000</v>
      </c>
      <c r="J374" s="717">
        <v>1967400000</v>
      </c>
      <c r="K374" s="561">
        <v>1931536200</v>
      </c>
      <c r="L374" s="518">
        <f t="shared" si="181"/>
        <v>96.868537666174305</v>
      </c>
      <c r="M374" s="518">
        <f t="shared" si="182"/>
        <v>101.85675008317214</v>
      </c>
      <c r="R374" s="385"/>
      <c r="S374" s="385"/>
      <c r="AA374" s="128"/>
    </row>
    <row r="375" spans="1:27" ht="18.75" hidden="1">
      <c r="A375" s="437" t="s">
        <v>15</v>
      </c>
      <c r="B375" s="438" t="s">
        <v>50</v>
      </c>
      <c r="C375" s="520"/>
      <c r="D375" s="520"/>
      <c r="E375" s="520"/>
      <c r="F375" s="520"/>
      <c r="G375" s="520"/>
      <c r="H375" s="521"/>
      <c r="I375" s="489">
        <v>171000000</v>
      </c>
      <c r="J375" s="717">
        <v>170424122</v>
      </c>
      <c r="K375" s="561">
        <v>123635500</v>
      </c>
      <c r="L375" s="518">
        <f t="shared" si="181"/>
        <v>99.663229239766082</v>
      </c>
      <c r="M375" s="518">
        <f t="shared" si="182"/>
        <v>137.84400273384264</v>
      </c>
    </row>
    <row r="376" spans="1:27" s="141" customFormat="1" ht="18.75" hidden="1">
      <c r="A376" s="437" t="s">
        <v>24</v>
      </c>
      <c r="B376" s="438" t="s">
        <v>52</v>
      </c>
      <c r="C376" s="520"/>
      <c r="D376" s="520"/>
      <c r="E376" s="520">
        <v>278</v>
      </c>
      <c r="F376" s="520">
        <v>12</v>
      </c>
      <c r="G376" s="520" t="s">
        <v>186</v>
      </c>
      <c r="H376" s="521">
        <v>100</v>
      </c>
      <c r="I376" s="489">
        <v>2038000000</v>
      </c>
      <c r="J376" s="717">
        <v>1864534913</v>
      </c>
      <c r="K376" s="561">
        <v>1874381809</v>
      </c>
      <c r="L376" s="518">
        <f t="shared" si="181"/>
        <v>91.488464818449458</v>
      </c>
      <c r="M376" s="518">
        <f t="shared" si="182"/>
        <v>99.474659007427448</v>
      </c>
      <c r="R376" s="385"/>
      <c r="S376" s="385"/>
      <c r="AA376" s="128"/>
    </row>
    <row r="377" spans="1:27" s="141" customFormat="1" ht="18.75" hidden="1">
      <c r="A377" s="437" t="s">
        <v>313</v>
      </c>
      <c r="B377" s="438" t="s">
        <v>53</v>
      </c>
      <c r="C377" s="123">
        <v>1030253</v>
      </c>
      <c r="D377" s="123">
        <v>412</v>
      </c>
      <c r="E377" s="123">
        <v>340</v>
      </c>
      <c r="F377" s="123">
        <v>12</v>
      </c>
      <c r="G377" s="536" t="s">
        <v>192</v>
      </c>
      <c r="H377" s="269">
        <v>100</v>
      </c>
      <c r="I377" s="590">
        <f>1330000000-92800000</f>
        <v>1237200000</v>
      </c>
      <c r="J377" s="717">
        <v>904502593</v>
      </c>
      <c r="K377" s="561">
        <v>1268953951</v>
      </c>
      <c r="L377" s="518">
        <f t="shared" si="181"/>
        <v>73.108841981894599</v>
      </c>
      <c r="M377" s="518">
        <f t="shared" si="182"/>
        <v>71.279386638672435</v>
      </c>
      <c r="R377" s="385"/>
      <c r="S377" s="385"/>
      <c r="AA377" s="129"/>
    </row>
    <row r="378" spans="1:27" ht="18.75" hidden="1">
      <c r="A378" s="437" t="s">
        <v>314</v>
      </c>
      <c r="B378" s="438" t="s">
        <v>54</v>
      </c>
      <c r="C378" s="520"/>
      <c r="D378" s="520"/>
      <c r="E378" s="404">
        <v>341</v>
      </c>
      <c r="F378" s="404">
        <v>12</v>
      </c>
      <c r="G378" s="520" t="s">
        <v>192</v>
      </c>
      <c r="H378" s="517">
        <v>100</v>
      </c>
      <c r="I378" s="474">
        <v>70000000</v>
      </c>
      <c r="J378" s="717">
        <v>67919240</v>
      </c>
      <c r="K378" s="561">
        <v>49256400</v>
      </c>
      <c r="L378" s="518">
        <f t="shared" si="181"/>
        <v>97.027485714285717</v>
      </c>
      <c r="M378" s="518">
        <f t="shared" si="182"/>
        <v>137.88916770206512</v>
      </c>
    </row>
    <row r="379" spans="1:27" s="141" customFormat="1" ht="18.75" hidden="1">
      <c r="A379" s="437" t="s">
        <v>315</v>
      </c>
      <c r="B379" s="438" t="s">
        <v>55</v>
      </c>
      <c r="C379" s="520"/>
      <c r="D379" s="520"/>
      <c r="E379" s="520"/>
      <c r="F379" s="520"/>
      <c r="G379" s="520"/>
      <c r="H379" s="521"/>
      <c r="I379" s="473">
        <v>860000000</v>
      </c>
      <c r="J379" s="717">
        <v>298750360</v>
      </c>
      <c r="K379" s="561">
        <v>535951616</v>
      </c>
      <c r="L379" s="518">
        <f t="shared" si="181"/>
        <v>34.738413953488376</v>
      </c>
      <c r="M379" s="518">
        <f t="shared" si="182"/>
        <v>55.742039221689744</v>
      </c>
      <c r="R379" s="385"/>
      <c r="S379" s="385"/>
      <c r="AA379" s="128"/>
    </row>
    <row r="380" spans="1:27" s="141" customFormat="1" ht="37.5" hidden="1">
      <c r="A380" s="437" t="s">
        <v>316</v>
      </c>
      <c r="B380" s="430" t="s">
        <v>56</v>
      </c>
      <c r="C380" s="520"/>
      <c r="D380" s="520"/>
      <c r="E380" s="520"/>
      <c r="F380" s="520"/>
      <c r="G380" s="520"/>
      <c r="H380" s="521"/>
      <c r="I380" s="473">
        <v>1490000000</v>
      </c>
      <c r="J380" s="717">
        <v>1208183274</v>
      </c>
      <c r="K380" s="561">
        <v>1357671877</v>
      </c>
      <c r="L380" s="518">
        <f t="shared" si="181"/>
        <v>81.086125771812078</v>
      </c>
      <c r="M380" s="518">
        <f t="shared" si="182"/>
        <v>88.989342304834381</v>
      </c>
      <c r="R380" s="385"/>
      <c r="S380" s="385"/>
      <c r="AA380" s="128"/>
    </row>
    <row r="381" spans="1:27" s="141" customFormat="1" ht="56.25" hidden="1">
      <c r="A381" s="437" t="s">
        <v>317</v>
      </c>
      <c r="B381" s="430" t="s">
        <v>385</v>
      </c>
      <c r="C381" s="520"/>
      <c r="D381" s="520"/>
      <c r="E381" s="520"/>
      <c r="F381" s="520"/>
      <c r="G381" s="520"/>
      <c r="H381" s="521"/>
      <c r="I381" s="620">
        <f>488000000-154000000</f>
        <v>334000000</v>
      </c>
      <c r="J381" s="717">
        <v>13500000</v>
      </c>
      <c r="K381" s="561">
        <v>229100000</v>
      </c>
      <c r="L381" s="519">
        <f t="shared" si="181"/>
        <v>4.0419161676646702</v>
      </c>
      <c r="M381" s="519">
        <f t="shared" si="182"/>
        <v>5.8926233085988651</v>
      </c>
      <c r="R381" s="385"/>
      <c r="S381" s="385"/>
      <c r="AA381" s="128"/>
    </row>
    <row r="382" spans="1:27" ht="18.75" hidden="1">
      <c r="A382" s="437" t="s">
        <v>496</v>
      </c>
      <c r="B382" s="430" t="s">
        <v>359</v>
      </c>
      <c r="C382" s="546">
        <v>1029501</v>
      </c>
      <c r="D382" s="546">
        <v>412</v>
      </c>
      <c r="E382" s="546"/>
      <c r="F382" s="546"/>
      <c r="G382" s="546"/>
      <c r="H382" s="547"/>
      <c r="I382" s="487">
        <f t="shared" ref="I382:K382" si="197">SUM(I383:I385)</f>
        <v>1434564000</v>
      </c>
      <c r="J382" s="487">
        <f t="shared" si="197"/>
        <v>956738901</v>
      </c>
      <c r="K382" s="487">
        <f t="shared" si="197"/>
        <v>1079580103</v>
      </c>
      <c r="L382" s="518">
        <f t="shared" si="181"/>
        <v>66.691963621002614</v>
      </c>
      <c r="M382" s="518">
        <f t="shared" si="182"/>
        <v>88.621390700084063</v>
      </c>
    </row>
    <row r="383" spans="1:27" ht="18.75" hidden="1">
      <c r="A383" s="437"/>
      <c r="B383" s="455" t="s">
        <v>57</v>
      </c>
      <c r="C383" s="123">
        <v>1029501</v>
      </c>
      <c r="D383" s="123">
        <v>412</v>
      </c>
      <c r="E383" s="123">
        <v>340</v>
      </c>
      <c r="F383" s="123">
        <v>12</v>
      </c>
      <c r="G383" s="536" t="s">
        <v>176</v>
      </c>
      <c r="H383" s="269">
        <v>100</v>
      </c>
      <c r="I383" s="487">
        <v>104000000</v>
      </c>
      <c r="J383" s="717">
        <v>19990000</v>
      </c>
      <c r="K383" s="561">
        <v>50763592</v>
      </c>
      <c r="L383" s="518">
        <f t="shared" si="181"/>
        <v>19.221153846153847</v>
      </c>
      <c r="M383" s="519">
        <f t="shared" si="182"/>
        <v>39.378616075867917</v>
      </c>
    </row>
    <row r="384" spans="1:27" s="141" customFormat="1" ht="18.75" hidden="1">
      <c r="A384" s="437"/>
      <c r="B384" s="455" t="s">
        <v>58</v>
      </c>
      <c r="C384" s="123"/>
      <c r="D384" s="123"/>
      <c r="E384" s="123"/>
      <c r="F384" s="123"/>
      <c r="G384" s="123"/>
      <c r="H384" s="269"/>
      <c r="I384" s="590">
        <f>1300000000-31600000</f>
        <v>1268400000</v>
      </c>
      <c r="J384" s="717">
        <v>898128319</v>
      </c>
      <c r="K384" s="561">
        <v>981671228</v>
      </c>
      <c r="L384" s="518">
        <f t="shared" si="181"/>
        <v>70.807972169662577</v>
      </c>
      <c r="M384" s="518">
        <f t="shared" si="182"/>
        <v>91.48972623245713</v>
      </c>
      <c r="R384" s="385"/>
      <c r="S384" s="385"/>
      <c r="AA384" s="128"/>
    </row>
    <row r="385" spans="1:29" s="141" customFormat="1" ht="18.75" hidden="1">
      <c r="A385" s="437"/>
      <c r="B385" s="456" t="s">
        <v>59</v>
      </c>
      <c r="C385" s="123"/>
      <c r="D385" s="123"/>
      <c r="E385" s="123"/>
      <c r="F385" s="123"/>
      <c r="G385" s="520"/>
      <c r="H385" s="517"/>
      <c r="I385" s="591">
        <f>150000000-87836000</f>
        <v>62164000</v>
      </c>
      <c r="J385" s="717">
        <v>38620582</v>
      </c>
      <c r="K385" s="561">
        <v>47145283</v>
      </c>
      <c r="L385" s="518">
        <f t="shared" si="181"/>
        <v>62.126925551766298</v>
      </c>
      <c r="M385" s="519">
        <f t="shared" si="182"/>
        <v>81.918231353070894</v>
      </c>
      <c r="R385" s="385"/>
      <c r="S385" s="385"/>
      <c r="AA385" s="128"/>
    </row>
    <row r="386" spans="1:29" ht="18.75" hidden="1">
      <c r="A386" s="437" t="s">
        <v>318</v>
      </c>
      <c r="B386" s="430" t="s">
        <v>60</v>
      </c>
      <c r="C386" s="404"/>
      <c r="D386" s="404"/>
      <c r="E386" s="404">
        <v>341</v>
      </c>
      <c r="F386" s="404">
        <v>12</v>
      </c>
      <c r="G386" s="520" t="s">
        <v>192</v>
      </c>
      <c r="H386" s="517">
        <v>100</v>
      </c>
      <c r="I386" s="476">
        <v>300000000</v>
      </c>
      <c r="J386" s="717">
        <v>264722920</v>
      </c>
      <c r="K386" s="561">
        <v>277628040</v>
      </c>
      <c r="L386" s="518">
        <f t="shared" si="181"/>
        <v>88.240973333333329</v>
      </c>
      <c r="M386" s="518">
        <f t="shared" si="182"/>
        <v>95.351651079624375</v>
      </c>
    </row>
    <row r="387" spans="1:29" ht="18.75" hidden="1">
      <c r="A387" s="437" t="s">
        <v>319</v>
      </c>
      <c r="B387" s="430" t="s">
        <v>61</v>
      </c>
      <c r="C387" s="546">
        <v>1029499</v>
      </c>
      <c r="D387" s="546">
        <v>412</v>
      </c>
      <c r="E387" s="546"/>
      <c r="F387" s="546"/>
      <c r="G387" s="546"/>
      <c r="H387" s="547"/>
      <c r="I387" s="476">
        <v>100000000</v>
      </c>
      <c r="J387" s="717">
        <v>56600000</v>
      </c>
      <c r="K387" s="561">
        <v>49020000</v>
      </c>
      <c r="L387" s="518">
        <f t="shared" si="181"/>
        <v>56.599999999999994</v>
      </c>
      <c r="M387" s="519">
        <f t="shared" si="182"/>
        <v>115.46307629538963</v>
      </c>
    </row>
    <row r="388" spans="1:29" ht="75" hidden="1">
      <c r="A388" s="437" t="s">
        <v>708</v>
      </c>
      <c r="B388" s="430" t="s">
        <v>51</v>
      </c>
      <c r="C388" s="123">
        <v>1029499</v>
      </c>
      <c r="D388" s="123">
        <v>412</v>
      </c>
      <c r="E388" s="123">
        <v>340</v>
      </c>
      <c r="F388" s="123">
        <v>12</v>
      </c>
      <c r="G388" s="536" t="s">
        <v>176</v>
      </c>
      <c r="H388" s="269">
        <v>100</v>
      </c>
      <c r="I388" s="472">
        <v>0</v>
      </c>
      <c r="J388" s="472"/>
      <c r="K388" s="561">
        <v>27350280</v>
      </c>
      <c r="L388" s="519" t="e">
        <f t="shared" si="181"/>
        <v>#DIV/0!</v>
      </c>
      <c r="M388" s="518">
        <f t="shared" si="182"/>
        <v>0</v>
      </c>
    </row>
    <row r="389" spans="1:29" s="141" customFormat="1" ht="37.5" hidden="1">
      <c r="A389" s="437" t="s">
        <v>709</v>
      </c>
      <c r="B389" s="430" t="s">
        <v>710</v>
      </c>
      <c r="C389" s="123"/>
      <c r="D389" s="123"/>
      <c r="E389" s="123"/>
      <c r="F389" s="123"/>
      <c r="G389" s="123"/>
      <c r="H389" s="269"/>
      <c r="I389" s="471">
        <v>0</v>
      </c>
      <c r="J389" s="472"/>
      <c r="K389" s="561">
        <v>73146237</v>
      </c>
      <c r="L389" s="519" t="e">
        <f t="shared" si="181"/>
        <v>#DIV/0!</v>
      </c>
      <c r="M389" s="519">
        <f t="shared" si="182"/>
        <v>0</v>
      </c>
      <c r="R389" s="385"/>
      <c r="S389" s="385"/>
      <c r="AA389" s="128"/>
    </row>
    <row r="390" spans="1:29" s="141" customFormat="1" ht="37.5" hidden="1">
      <c r="A390" s="437" t="s">
        <v>711</v>
      </c>
      <c r="B390" s="430" t="s">
        <v>712</v>
      </c>
      <c r="C390" s="123"/>
      <c r="D390" s="123"/>
      <c r="E390" s="123"/>
      <c r="F390" s="123"/>
      <c r="G390" s="520"/>
      <c r="H390" s="521"/>
      <c r="I390" s="472">
        <v>2192010000</v>
      </c>
      <c r="J390" s="717">
        <v>2110107571</v>
      </c>
      <c r="K390" s="561"/>
      <c r="L390" s="519">
        <f t="shared" si="181"/>
        <v>96.263592364998331</v>
      </c>
      <c r="M390" s="519" t="e">
        <f t="shared" si="182"/>
        <v>#DIV/0!</v>
      </c>
      <c r="R390" s="385"/>
      <c r="S390" s="385"/>
      <c r="AA390" s="128"/>
    </row>
    <row r="391" spans="1:29" ht="18.75" hidden="1">
      <c r="A391" s="437" t="s">
        <v>713</v>
      </c>
      <c r="B391" s="430" t="s">
        <v>714</v>
      </c>
      <c r="C391" s="520"/>
      <c r="D391" s="520"/>
      <c r="E391" s="520">
        <v>341</v>
      </c>
      <c r="F391" s="520">
        <v>12</v>
      </c>
      <c r="G391" s="520" t="s">
        <v>192</v>
      </c>
      <c r="H391" s="521">
        <v>100</v>
      </c>
      <c r="I391" s="487">
        <v>49920000</v>
      </c>
      <c r="J391" s="717">
        <v>38420000</v>
      </c>
      <c r="K391" s="561"/>
      <c r="L391" s="519">
        <f t="shared" si="181"/>
        <v>76.963141025641022</v>
      </c>
      <c r="M391" s="519" t="e">
        <f t="shared" si="182"/>
        <v>#DIV/0!</v>
      </c>
    </row>
    <row r="392" spans="1:29" ht="37.5" hidden="1">
      <c r="A392" s="437" t="s">
        <v>715</v>
      </c>
      <c r="B392" s="430" t="s">
        <v>716</v>
      </c>
      <c r="C392" s="546">
        <v>1029495</v>
      </c>
      <c r="D392" s="546">
        <v>412</v>
      </c>
      <c r="E392" s="546"/>
      <c r="F392" s="546"/>
      <c r="G392" s="546"/>
      <c r="H392" s="547"/>
      <c r="I392" s="487">
        <v>69580000</v>
      </c>
      <c r="J392" s="717">
        <v>41679300</v>
      </c>
      <c r="K392" s="561"/>
      <c r="L392" s="519">
        <f t="shared" si="181"/>
        <v>59.901264731244609</v>
      </c>
      <c r="M392" s="519" t="e">
        <f t="shared" si="182"/>
        <v>#DIV/0!</v>
      </c>
    </row>
    <row r="393" spans="1:29" ht="18.75" hidden="1">
      <c r="A393" s="437"/>
      <c r="B393" s="621" t="s">
        <v>747</v>
      </c>
      <c r="C393" s="546"/>
      <c r="D393" s="546"/>
      <c r="E393" s="546"/>
      <c r="F393" s="546"/>
      <c r="G393" s="546"/>
      <c r="H393" s="547"/>
      <c r="I393" s="487">
        <v>92800000</v>
      </c>
      <c r="J393" s="717">
        <v>79455000</v>
      </c>
      <c r="K393" s="561"/>
      <c r="L393" s="519"/>
      <c r="M393" s="519"/>
    </row>
    <row r="394" spans="1:29" s="603" customFormat="1" ht="18.75" hidden="1">
      <c r="A394" s="607" t="s">
        <v>782</v>
      </c>
      <c r="B394" s="629" t="s">
        <v>779</v>
      </c>
      <c r="C394" s="675"/>
      <c r="D394" s="675"/>
      <c r="E394" s="675"/>
      <c r="F394" s="675"/>
      <c r="G394" s="675"/>
      <c r="H394" s="674"/>
      <c r="I394" s="632">
        <f>+I395</f>
        <v>214335000</v>
      </c>
      <c r="J394" s="632">
        <f t="shared" ref="J394:K394" si="198">+J395</f>
        <v>214335000</v>
      </c>
      <c r="K394" s="632">
        <f t="shared" si="198"/>
        <v>0</v>
      </c>
      <c r="L394" s="634"/>
      <c r="M394" s="634"/>
      <c r="R394" s="604"/>
      <c r="S394" s="604"/>
    </row>
    <row r="395" spans="1:29" ht="33" hidden="1">
      <c r="A395" s="437"/>
      <c r="B395" s="705" t="s">
        <v>774</v>
      </c>
      <c r="C395" s="546"/>
      <c r="D395" s="546"/>
      <c r="E395" s="546"/>
      <c r="F395" s="546"/>
      <c r="G395" s="546"/>
      <c r="H395" s="547"/>
      <c r="I395" s="678">
        <v>214335000</v>
      </c>
      <c r="J395" s="716">
        <v>214335000</v>
      </c>
      <c r="K395" s="561"/>
      <c r="L395" s="519"/>
      <c r="M395" s="519"/>
    </row>
    <row r="396" spans="1:29" ht="18.75" hidden="1">
      <c r="A396" s="428">
        <v>4</v>
      </c>
      <c r="B396" s="429" t="s">
        <v>521</v>
      </c>
      <c r="C396" s="123">
        <v>1029495</v>
      </c>
      <c r="D396" s="123">
        <v>412</v>
      </c>
      <c r="E396" s="123">
        <v>340</v>
      </c>
      <c r="F396" s="123">
        <v>12</v>
      </c>
      <c r="G396" s="536" t="s">
        <v>176</v>
      </c>
      <c r="H396" s="269">
        <v>100</v>
      </c>
      <c r="I396" s="470">
        <f t="shared" ref="I396:K397" si="199">+I397</f>
        <v>120000000</v>
      </c>
      <c r="J396" s="470">
        <f t="shared" si="199"/>
        <v>118344672</v>
      </c>
      <c r="K396" s="556">
        <f t="shared" si="199"/>
        <v>115839672</v>
      </c>
      <c r="L396" s="518">
        <f t="shared" si="181"/>
        <v>98.620559999999998</v>
      </c>
      <c r="M396" s="518">
        <f t="shared" si="182"/>
        <v>102.16247159263365</v>
      </c>
    </row>
    <row r="397" spans="1:29" s="141" customFormat="1" ht="18.75" hidden="1">
      <c r="A397" s="428"/>
      <c r="B397" s="429" t="s">
        <v>514</v>
      </c>
      <c r="C397" s="123"/>
      <c r="D397" s="123"/>
      <c r="E397" s="123"/>
      <c r="F397" s="123"/>
      <c r="G397" s="123"/>
      <c r="H397" s="269"/>
      <c r="I397" s="470">
        <f t="shared" si="199"/>
        <v>120000000</v>
      </c>
      <c r="J397" s="470">
        <f t="shared" si="199"/>
        <v>118344672</v>
      </c>
      <c r="K397" s="556">
        <f t="shared" si="199"/>
        <v>115839672</v>
      </c>
      <c r="L397" s="518">
        <f t="shared" si="181"/>
        <v>98.620559999999998</v>
      </c>
      <c r="M397" s="518">
        <f t="shared" si="182"/>
        <v>102.16247159263365</v>
      </c>
      <c r="R397" s="385"/>
      <c r="S397" s="385"/>
      <c r="AA397" s="128"/>
    </row>
    <row r="398" spans="1:29" s="141" customFormat="1" ht="37.5" hidden="1">
      <c r="A398" s="428"/>
      <c r="B398" s="438" t="s">
        <v>522</v>
      </c>
      <c r="C398" s="123"/>
      <c r="D398" s="123"/>
      <c r="E398" s="123"/>
      <c r="F398" s="123"/>
      <c r="G398" s="520"/>
      <c r="H398" s="521"/>
      <c r="I398" s="493">
        <v>120000000</v>
      </c>
      <c r="J398" s="717">
        <v>118344672</v>
      </c>
      <c r="K398" s="561">
        <v>115839672</v>
      </c>
      <c r="L398" s="518">
        <f t="shared" si="181"/>
        <v>98.620559999999998</v>
      </c>
      <c r="M398" s="518">
        <f t="shared" si="182"/>
        <v>102.16247159263365</v>
      </c>
      <c r="R398" s="385"/>
      <c r="S398" s="385"/>
      <c r="AA398" s="128"/>
    </row>
    <row r="399" spans="1:29" ht="18.75" hidden="1">
      <c r="A399" s="433" t="s">
        <v>103</v>
      </c>
      <c r="B399" s="434" t="s">
        <v>307</v>
      </c>
      <c r="C399" s="520"/>
      <c r="D399" s="520"/>
      <c r="E399" s="520">
        <v>341</v>
      </c>
      <c r="F399" s="520">
        <v>12</v>
      </c>
      <c r="G399" s="520" t="s">
        <v>192</v>
      </c>
      <c r="H399" s="521">
        <v>100</v>
      </c>
      <c r="I399" s="484">
        <f>+I400+I402+I433</f>
        <v>11230273526</v>
      </c>
      <c r="J399" s="484">
        <f t="shared" ref="J399:K399" si="200">+J400+J402+J433</f>
        <v>10365132186</v>
      </c>
      <c r="K399" s="484">
        <f t="shared" si="200"/>
        <v>8547974167</v>
      </c>
      <c r="L399" s="518">
        <f t="shared" si="181"/>
        <v>92.296346674040933</v>
      </c>
      <c r="M399" s="518">
        <f t="shared" si="182"/>
        <v>121.25834710656069</v>
      </c>
      <c r="AA399" s="129">
        <v>11003273526</v>
      </c>
      <c r="AB399" s="129">
        <v>11037338526</v>
      </c>
      <c r="AC399" s="129"/>
    </row>
    <row r="400" spans="1:29" ht="37.5" hidden="1">
      <c r="A400" s="428" t="s">
        <v>11</v>
      </c>
      <c r="B400" s="429" t="s">
        <v>717</v>
      </c>
      <c r="C400" s="546">
        <v>1029500</v>
      </c>
      <c r="D400" s="546">
        <v>412</v>
      </c>
      <c r="E400" s="546"/>
      <c r="F400" s="546"/>
      <c r="G400" s="546"/>
      <c r="H400" s="547"/>
      <c r="I400" s="492">
        <f t="shared" ref="I400:K400" si="201">+I401</f>
        <v>0</v>
      </c>
      <c r="J400" s="492">
        <f t="shared" si="201"/>
        <v>0</v>
      </c>
      <c r="K400" s="492">
        <f t="shared" si="201"/>
        <v>34083750</v>
      </c>
      <c r="L400" s="519" t="e">
        <f t="shared" si="181"/>
        <v>#DIV/0!</v>
      </c>
      <c r="M400" s="519">
        <f t="shared" si="182"/>
        <v>0</v>
      </c>
      <c r="AA400" s="129">
        <f>+I399-AA399</f>
        <v>227000000</v>
      </c>
      <c r="AB400" s="129">
        <f>+AB399-I399</f>
        <v>-192935000</v>
      </c>
    </row>
    <row r="401" spans="1:27" ht="56.25" hidden="1">
      <c r="A401" s="437"/>
      <c r="B401" s="439" t="s">
        <v>718</v>
      </c>
      <c r="C401" s="123">
        <v>1029500</v>
      </c>
      <c r="D401" s="123">
        <v>412</v>
      </c>
      <c r="E401" s="123">
        <v>340</v>
      </c>
      <c r="F401" s="123">
        <v>12</v>
      </c>
      <c r="G401" s="536" t="s">
        <v>176</v>
      </c>
      <c r="H401" s="269">
        <v>100</v>
      </c>
      <c r="I401" s="474">
        <v>0</v>
      </c>
      <c r="J401" s="472"/>
      <c r="K401" s="561">
        <v>34083750</v>
      </c>
      <c r="L401" s="519" t="e">
        <f t="shared" si="181"/>
        <v>#DIV/0!</v>
      </c>
      <c r="M401" s="519">
        <f t="shared" si="182"/>
        <v>0</v>
      </c>
      <c r="AA401" s="129">
        <f>+J399+J537</f>
        <v>10375072186</v>
      </c>
    </row>
    <row r="402" spans="1:27" s="141" customFormat="1" ht="18.75" hidden="1">
      <c r="A402" s="428" t="s">
        <v>217</v>
      </c>
      <c r="B402" s="429" t="s">
        <v>34</v>
      </c>
      <c r="C402" s="123"/>
      <c r="D402" s="123"/>
      <c r="E402" s="123"/>
      <c r="F402" s="123"/>
      <c r="G402" s="123"/>
      <c r="H402" s="269"/>
      <c r="I402" s="470">
        <f>+I403+I414</f>
        <v>11200173526</v>
      </c>
      <c r="J402" s="470">
        <f t="shared" ref="J402:K402" si="202">+J403+J414</f>
        <v>10335032186</v>
      </c>
      <c r="K402" s="470">
        <f t="shared" si="202"/>
        <v>8483790417</v>
      </c>
      <c r="L402" s="518">
        <f t="shared" si="181"/>
        <v>92.275643426490959</v>
      </c>
      <c r="M402" s="518">
        <f t="shared" si="182"/>
        <v>121.82092765151815</v>
      </c>
      <c r="R402" s="385"/>
      <c r="S402" s="385"/>
      <c r="AA402" s="274"/>
    </row>
    <row r="403" spans="1:27" s="141" customFormat="1" ht="18.75" hidden="1">
      <c r="A403" s="428">
        <v>1</v>
      </c>
      <c r="B403" s="421" t="s">
        <v>7</v>
      </c>
      <c r="C403" s="123"/>
      <c r="D403" s="123"/>
      <c r="E403" s="123"/>
      <c r="F403" s="123"/>
      <c r="G403" s="520"/>
      <c r="H403" s="517"/>
      <c r="I403" s="486">
        <f>I404+I412</f>
        <v>6006290526</v>
      </c>
      <c r="J403" s="486">
        <f t="shared" ref="J403:K403" si="203">J404+J412</f>
        <v>5864825366</v>
      </c>
      <c r="K403" s="486">
        <f t="shared" si="203"/>
        <v>5120619474</v>
      </c>
      <c r="L403" s="518">
        <f t="shared" si="181"/>
        <v>97.644716661846005</v>
      </c>
      <c r="M403" s="518">
        <f t="shared" si="182"/>
        <v>114.53351290363818</v>
      </c>
      <c r="R403" s="385"/>
      <c r="S403" s="385"/>
      <c r="AA403" s="274"/>
    </row>
    <row r="404" spans="1:27" ht="18.75" hidden="1">
      <c r="A404" s="428" t="s">
        <v>8</v>
      </c>
      <c r="B404" s="421" t="s">
        <v>74</v>
      </c>
      <c r="C404" s="404"/>
      <c r="D404" s="404"/>
      <c r="E404" s="404">
        <v>341</v>
      </c>
      <c r="F404" s="404">
        <v>12</v>
      </c>
      <c r="G404" s="520" t="s">
        <v>192</v>
      </c>
      <c r="H404" s="517">
        <v>100</v>
      </c>
      <c r="I404" s="486">
        <f>I405+I411</f>
        <v>6006290526</v>
      </c>
      <c r="J404" s="486">
        <f t="shared" ref="J404:K404" si="204">J405+J411</f>
        <v>5864825366</v>
      </c>
      <c r="K404" s="486">
        <f t="shared" si="204"/>
        <v>4827000000</v>
      </c>
      <c r="L404" s="518">
        <f t="shared" si="181"/>
        <v>97.644716661846005</v>
      </c>
      <c r="M404" s="518">
        <f t="shared" si="182"/>
        <v>121.50042191837581</v>
      </c>
    </row>
    <row r="405" spans="1:27" ht="18.75" hidden="1">
      <c r="A405" s="437" t="s">
        <v>14</v>
      </c>
      <c r="B405" s="438" t="s">
        <v>524</v>
      </c>
      <c r="C405" s="546">
        <v>1030351</v>
      </c>
      <c r="D405" s="546">
        <v>412</v>
      </c>
      <c r="E405" s="546"/>
      <c r="F405" s="546"/>
      <c r="G405" s="546"/>
      <c r="H405" s="547"/>
      <c r="I405" s="487">
        <f>SUM(I406:I410)</f>
        <v>5850290526</v>
      </c>
      <c r="J405" s="487">
        <f t="shared" ref="J405:K405" si="205">SUM(J406:J410)</f>
        <v>5708825366</v>
      </c>
      <c r="K405" s="487">
        <f t="shared" si="205"/>
        <v>4589000000</v>
      </c>
      <c r="L405" s="518">
        <f t="shared" si="181"/>
        <v>97.58191222519126</v>
      </c>
      <c r="M405" s="518">
        <f t="shared" si="182"/>
        <v>124.40238322074526</v>
      </c>
    </row>
    <row r="406" spans="1:27" ht="18.75" hidden="1">
      <c r="A406" s="437"/>
      <c r="B406" s="439" t="s">
        <v>536</v>
      </c>
      <c r="C406" s="123">
        <v>1030351</v>
      </c>
      <c r="D406" s="123">
        <v>412</v>
      </c>
      <c r="E406" s="123">
        <v>340</v>
      </c>
      <c r="F406" s="123">
        <v>12</v>
      </c>
      <c r="G406" s="536" t="s">
        <v>176</v>
      </c>
      <c r="H406" s="269">
        <v>100</v>
      </c>
      <c r="I406" s="591">
        <f>3482000000</f>
        <v>3482000000</v>
      </c>
      <c r="J406" s="472">
        <v>3482000000</v>
      </c>
      <c r="K406" s="561">
        <v>3531000000</v>
      </c>
      <c r="L406" s="518">
        <f t="shared" si="181"/>
        <v>100</v>
      </c>
      <c r="M406" s="518">
        <f t="shared" si="182"/>
        <v>98.61229113565561</v>
      </c>
    </row>
    <row r="407" spans="1:27" ht="37.5" hidden="1">
      <c r="A407" s="437"/>
      <c r="B407" s="438" t="s">
        <v>768</v>
      </c>
      <c r="C407" s="625"/>
      <c r="D407" s="625"/>
      <c r="E407" s="625"/>
      <c r="F407" s="625"/>
      <c r="G407" s="536"/>
      <c r="H407" s="624"/>
      <c r="I407" s="591">
        <v>724000000</v>
      </c>
      <c r="J407" s="472">
        <v>647096570</v>
      </c>
      <c r="K407" s="561"/>
      <c r="L407" s="518"/>
      <c r="M407" s="518"/>
    </row>
    <row r="408" spans="1:27" ht="56.25" hidden="1">
      <c r="A408" s="437"/>
      <c r="B408" s="659" t="s">
        <v>759</v>
      </c>
      <c r="C408" s="625"/>
      <c r="D408" s="625"/>
      <c r="E408" s="625"/>
      <c r="F408" s="625"/>
      <c r="G408" s="536"/>
      <c r="H408" s="624"/>
      <c r="I408" s="591">
        <v>9440526</v>
      </c>
      <c r="J408" s="472">
        <v>9440526</v>
      </c>
      <c r="K408" s="561"/>
      <c r="L408" s="518"/>
      <c r="M408" s="518"/>
    </row>
    <row r="409" spans="1:27" ht="49.5" hidden="1">
      <c r="A409" s="437"/>
      <c r="B409" s="701" t="s">
        <v>762</v>
      </c>
      <c r="C409" s="606"/>
      <c r="D409" s="606"/>
      <c r="E409" s="606"/>
      <c r="F409" s="606"/>
      <c r="G409" s="536"/>
      <c r="H409" s="605"/>
      <c r="I409" s="591">
        <f>595850000</f>
        <v>595850000</v>
      </c>
      <c r="J409" s="472">
        <v>548288270</v>
      </c>
      <c r="K409" s="561"/>
      <c r="L409" s="518"/>
      <c r="M409" s="518"/>
    </row>
    <row r="410" spans="1:27" s="141" customFormat="1" ht="18.75" hidden="1">
      <c r="A410" s="437"/>
      <c r="B410" s="439" t="s">
        <v>10</v>
      </c>
      <c r="C410" s="123"/>
      <c r="D410" s="123"/>
      <c r="E410" s="123"/>
      <c r="F410" s="123"/>
      <c r="G410" s="123"/>
      <c r="H410" s="269"/>
      <c r="I410" s="487">
        <v>1039000000</v>
      </c>
      <c r="J410" s="472">
        <v>1022000000</v>
      </c>
      <c r="K410" s="561">
        <v>1058000000</v>
      </c>
      <c r="L410" s="518">
        <f t="shared" si="181"/>
        <v>98.363811357074098</v>
      </c>
      <c r="M410" s="518">
        <f t="shared" si="182"/>
        <v>96.597353497164463</v>
      </c>
      <c r="R410" s="385"/>
      <c r="S410" s="385"/>
      <c r="AA410" s="128"/>
    </row>
    <row r="411" spans="1:27" s="141" customFormat="1" ht="37.5" hidden="1">
      <c r="A411" s="437" t="s">
        <v>15</v>
      </c>
      <c r="B411" s="438" t="s">
        <v>352</v>
      </c>
      <c r="C411" s="123"/>
      <c r="D411" s="123"/>
      <c r="E411" s="123"/>
      <c r="F411" s="123"/>
      <c r="G411" s="520"/>
      <c r="H411" s="521"/>
      <c r="I411" s="487">
        <v>156000000</v>
      </c>
      <c r="J411" s="472">
        <v>156000000</v>
      </c>
      <c r="K411" s="561">
        <v>238000000</v>
      </c>
      <c r="L411" s="518">
        <f t="shared" si="181"/>
        <v>100</v>
      </c>
      <c r="M411" s="518">
        <f t="shared" si="182"/>
        <v>65.546218487394952</v>
      </c>
      <c r="R411" s="385"/>
      <c r="S411" s="385"/>
      <c r="AA411" s="128"/>
    </row>
    <row r="412" spans="1:27" ht="18.75" hidden="1">
      <c r="A412" s="428" t="s">
        <v>9</v>
      </c>
      <c r="B412" s="421" t="s">
        <v>69</v>
      </c>
      <c r="C412" s="520"/>
      <c r="D412" s="520"/>
      <c r="E412" s="520">
        <v>341</v>
      </c>
      <c r="F412" s="520">
        <v>12</v>
      </c>
      <c r="G412" s="520" t="s">
        <v>192</v>
      </c>
      <c r="H412" s="521">
        <v>100</v>
      </c>
      <c r="I412" s="470">
        <f t="shared" ref="I412:K412" si="206">I413</f>
        <v>0</v>
      </c>
      <c r="J412" s="470">
        <f t="shared" si="206"/>
        <v>0</v>
      </c>
      <c r="K412" s="556">
        <f t="shared" si="206"/>
        <v>293619474</v>
      </c>
      <c r="L412" s="519" t="e">
        <f t="shared" si="181"/>
        <v>#DIV/0!</v>
      </c>
      <c r="M412" s="519">
        <f t="shared" si="182"/>
        <v>0</v>
      </c>
    </row>
    <row r="413" spans="1:27" s="145" customFormat="1" ht="37.5" hidden="1">
      <c r="A413" s="428"/>
      <c r="B413" s="438" t="s">
        <v>523</v>
      </c>
      <c r="C413" s="536"/>
      <c r="D413" s="536"/>
      <c r="E413" s="536"/>
      <c r="F413" s="536"/>
      <c r="G413" s="536"/>
      <c r="H413" s="537"/>
      <c r="I413" s="587">
        <f>733440526-724000000-9440526</f>
        <v>0</v>
      </c>
      <c r="J413" s="587">
        <f>733440526-724000000-9440526</f>
        <v>0</v>
      </c>
      <c r="K413" s="561">
        <v>293619474</v>
      </c>
      <c r="L413" s="519" t="e">
        <f t="shared" si="181"/>
        <v>#DIV/0!</v>
      </c>
      <c r="M413" s="519">
        <f t="shared" si="182"/>
        <v>0</v>
      </c>
      <c r="R413" s="386"/>
      <c r="S413" s="386"/>
      <c r="AA413" s="128"/>
    </row>
    <row r="414" spans="1:27" s="603" customFormat="1" ht="18.75" hidden="1">
      <c r="A414" s="607">
        <v>2</v>
      </c>
      <c r="B414" s="597" t="s">
        <v>772</v>
      </c>
      <c r="C414" s="686"/>
      <c r="D414" s="686"/>
      <c r="E414" s="686"/>
      <c r="F414" s="686"/>
      <c r="G414" s="686"/>
      <c r="H414" s="685"/>
      <c r="I414" s="688">
        <f>+I415+I427+I429+I431</f>
        <v>5193883000</v>
      </c>
      <c r="J414" s="688">
        <f t="shared" ref="J414:K414" si="207">+J415+J427+J429+J431</f>
        <v>4470206820</v>
      </c>
      <c r="K414" s="688">
        <f t="shared" si="207"/>
        <v>3363170943</v>
      </c>
      <c r="L414" s="634"/>
      <c r="M414" s="634"/>
      <c r="R414" s="604"/>
      <c r="S414" s="604"/>
    </row>
    <row r="415" spans="1:27" ht="26.45" hidden="1" customHeight="1">
      <c r="A415" s="428" t="s">
        <v>12</v>
      </c>
      <c r="B415" s="421" t="s">
        <v>771</v>
      </c>
      <c r="C415" s="520"/>
      <c r="D415" s="520"/>
      <c r="E415" s="520"/>
      <c r="F415" s="520"/>
      <c r="G415" s="520"/>
      <c r="H415" s="521"/>
      <c r="I415" s="486">
        <f>+I416+I417+I425+I426</f>
        <v>4990948000</v>
      </c>
      <c r="J415" s="486">
        <f t="shared" ref="J415:K415" si="208">+J416+J417+J425+J426</f>
        <v>4267271820</v>
      </c>
      <c r="K415" s="486">
        <f t="shared" si="208"/>
        <v>3161819360</v>
      </c>
      <c r="L415" s="518">
        <f t="shared" si="181"/>
        <v>85.500226009166994</v>
      </c>
      <c r="M415" s="518">
        <f t="shared" si="182"/>
        <v>134.96254321119724</v>
      </c>
      <c r="AA415" s="129"/>
    </row>
    <row r="416" spans="1:27" ht="18.75" hidden="1">
      <c r="A416" s="437" t="s">
        <v>14</v>
      </c>
      <c r="B416" s="441" t="s">
        <v>321</v>
      </c>
      <c r="C416" s="546">
        <v>1110440</v>
      </c>
      <c r="D416" s="546">
        <v>412</v>
      </c>
      <c r="E416" s="546"/>
      <c r="F416" s="546"/>
      <c r="G416" s="546"/>
      <c r="H416" s="547"/>
      <c r="I416" s="472">
        <v>60000000</v>
      </c>
      <c r="J416" s="472">
        <v>60000000</v>
      </c>
      <c r="K416" s="561">
        <v>60000000</v>
      </c>
      <c r="L416" s="518">
        <f t="shared" si="181"/>
        <v>100</v>
      </c>
      <c r="M416" s="518">
        <f t="shared" si="182"/>
        <v>100</v>
      </c>
    </row>
    <row r="417" spans="1:27" ht="18.75" hidden="1">
      <c r="A417" s="437" t="s">
        <v>15</v>
      </c>
      <c r="B417" s="441" t="s">
        <v>473</v>
      </c>
      <c r="C417" s="123">
        <v>1110440</v>
      </c>
      <c r="D417" s="123">
        <v>412</v>
      </c>
      <c r="E417" s="123">
        <v>340</v>
      </c>
      <c r="F417" s="123">
        <v>12</v>
      </c>
      <c r="G417" s="536" t="s">
        <v>176</v>
      </c>
      <c r="H417" s="269">
        <v>100</v>
      </c>
      <c r="I417" s="487">
        <f>SUM(I418:I420)</f>
        <v>4828500000</v>
      </c>
      <c r="J417" s="487">
        <f t="shared" ref="J417:K417" si="209">SUM(J418:J420)</f>
        <v>4120918070</v>
      </c>
      <c r="K417" s="487">
        <f t="shared" si="209"/>
        <v>3067947260</v>
      </c>
      <c r="L417" s="518">
        <f t="shared" si="181"/>
        <v>85.345719581650613</v>
      </c>
      <c r="M417" s="518">
        <f t="shared" si="182"/>
        <v>134.32167246577765</v>
      </c>
    </row>
    <row r="418" spans="1:27" s="141" customFormat="1" ht="18.75" hidden="1">
      <c r="A418" s="437"/>
      <c r="B418" s="441" t="s">
        <v>322</v>
      </c>
      <c r="C418" s="123"/>
      <c r="D418" s="123"/>
      <c r="E418" s="123"/>
      <c r="F418" s="123"/>
      <c r="G418" s="123"/>
      <c r="H418" s="269"/>
      <c r="I418" s="488">
        <v>30000000</v>
      </c>
      <c r="J418" s="472">
        <v>16346200</v>
      </c>
      <c r="K418" s="561">
        <v>26840600</v>
      </c>
      <c r="L418" s="518">
        <f t="shared" si="181"/>
        <v>54.487333333333332</v>
      </c>
      <c r="M418" s="518">
        <f t="shared" si="182"/>
        <v>60.901023076980401</v>
      </c>
      <c r="R418" s="385"/>
      <c r="S418" s="385"/>
      <c r="AA418" s="128"/>
    </row>
    <row r="419" spans="1:27" s="141" customFormat="1" ht="18.75" hidden="1">
      <c r="A419" s="437"/>
      <c r="B419" s="430" t="s">
        <v>323</v>
      </c>
      <c r="C419" s="123"/>
      <c r="D419" s="123"/>
      <c r="E419" s="520"/>
      <c r="F419" s="520"/>
      <c r="G419" s="520"/>
      <c r="H419" s="521"/>
      <c r="I419" s="595">
        <f>3960000000-809500000-90500000</f>
        <v>3060000000</v>
      </c>
      <c r="J419" s="472">
        <v>2531424670</v>
      </c>
      <c r="K419" s="561">
        <v>1959449700</v>
      </c>
      <c r="L419" s="518">
        <f t="shared" ref="L419:L497" si="210">+J419/I419*100</f>
        <v>82.726296405228766</v>
      </c>
      <c r="M419" s="518">
        <f t="shared" ref="M419:M497" si="211">+J419/K419*100</f>
        <v>129.19059213410787</v>
      </c>
      <c r="R419" s="385"/>
      <c r="S419" s="385"/>
      <c r="AA419" s="128"/>
    </row>
    <row r="420" spans="1:27" ht="18.75" hidden="1">
      <c r="A420" s="437"/>
      <c r="B420" s="430" t="s">
        <v>324</v>
      </c>
      <c r="C420" s="520"/>
      <c r="D420" s="520"/>
      <c r="E420" s="520">
        <v>341</v>
      </c>
      <c r="F420" s="520">
        <v>12</v>
      </c>
      <c r="G420" s="520" t="s">
        <v>192</v>
      </c>
      <c r="H420" s="521">
        <v>100</v>
      </c>
      <c r="I420" s="487">
        <f>SUM(I421:I424)</f>
        <v>1738500000</v>
      </c>
      <c r="J420" s="487">
        <f t="shared" ref="J420:K420" si="212">SUM(J421:J424)</f>
        <v>1573147200</v>
      </c>
      <c r="K420" s="487">
        <f t="shared" si="212"/>
        <v>1081656960</v>
      </c>
      <c r="L420" s="518">
        <f t="shared" si="210"/>
        <v>90.488766177739436</v>
      </c>
      <c r="M420" s="518">
        <f t="shared" si="211"/>
        <v>145.43864258036115</v>
      </c>
    </row>
    <row r="421" spans="1:27" s="171" customFormat="1" ht="18.75" hidden="1">
      <c r="A421" s="437"/>
      <c r="B421" s="456" t="s">
        <v>325</v>
      </c>
      <c r="C421" s="544"/>
      <c r="D421" s="544"/>
      <c r="E421" s="544"/>
      <c r="F421" s="544"/>
      <c r="G421" s="544"/>
      <c r="H421" s="545"/>
      <c r="I421" s="592">
        <f>610000000+90500000</f>
        <v>700500000</v>
      </c>
      <c r="J421" s="472">
        <v>700488000</v>
      </c>
      <c r="K421" s="561">
        <v>556668000</v>
      </c>
      <c r="L421" s="518">
        <f t="shared" si="210"/>
        <v>99.998286937901497</v>
      </c>
      <c r="M421" s="518">
        <f t="shared" si="211"/>
        <v>125.83586626139818</v>
      </c>
      <c r="R421" s="391"/>
      <c r="S421" s="391"/>
      <c r="AA421" s="128"/>
    </row>
    <row r="422" spans="1:27" ht="18.75" hidden="1">
      <c r="A422" s="437"/>
      <c r="B422" s="456" t="s">
        <v>326</v>
      </c>
      <c r="C422" s="123">
        <v>1030702</v>
      </c>
      <c r="D422" s="123">
        <v>412</v>
      </c>
      <c r="E422" s="123"/>
      <c r="F422" s="123"/>
      <c r="G422" s="123"/>
      <c r="H422" s="269"/>
      <c r="I422" s="473">
        <v>198000000</v>
      </c>
      <c r="J422" s="472">
        <v>165685000</v>
      </c>
      <c r="K422" s="561">
        <v>113424000</v>
      </c>
      <c r="L422" s="518">
        <f t="shared" si="210"/>
        <v>83.679292929292927</v>
      </c>
      <c r="M422" s="518">
        <f t="shared" si="211"/>
        <v>146.07578642967977</v>
      </c>
    </row>
    <row r="423" spans="1:27" ht="18.75" hidden="1">
      <c r="A423" s="437"/>
      <c r="B423" s="456" t="s">
        <v>327</v>
      </c>
      <c r="C423" s="123">
        <v>1030702</v>
      </c>
      <c r="D423" s="123">
        <v>412</v>
      </c>
      <c r="E423" s="123">
        <v>280</v>
      </c>
      <c r="F423" s="123">
        <v>12</v>
      </c>
      <c r="G423" s="536" t="s">
        <v>343</v>
      </c>
      <c r="H423" s="269">
        <v>100</v>
      </c>
      <c r="I423" s="473">
        <v>664000000</v>
      </c>
      <c r="J423" s="472">
        <v>553706600</v>
      </c>
      <c r="K423" s="561">
        <v>302394960</v>
      </c>
      <c r="L423" s="518">
        <f t="shared" si="210"/>
        <v>83.389548192771073</v>
      </c>
      <c r="M423" s="518">
        <f t="shared" si="211"/>
        <v>183.10708617630399</v>
      </c>
    </row>
    <row r="424" spans="1:27" s="141" customFormat="1" ht="18.75" hidden="1">
      <c r="A424" s="437"/>
      <c r="B424" s="456" t="s">
        <v>328</v>
      </c>
      <c r="C424" s="123"/>
      <c r="D424" s="123"/>
      <c r="E424" s="123"/>
      <c r="F424" s="123"/>
      <c r="G424" s="123"/>
      <c r="H424" s="269"/>
      <c r="I424" s="473">
        <v>176000000</v>
      </c>
      <c r="J424" s="472">
        <v>153267600</v>
      </c>
      <c r="K424" s="561">
        <v>109170000</v>
      </c>
      <c r="L424" s="518">
        <f t="shared" si="210"/>
        <v>87.083863636363631</v>
      </c>
      <c r="M424" s="518">
        <f t="shared" si="211"/>
        <v>140.39351470184116</v>
      </c>
      <c r="R424" s="385"/>
      <c r="S424" s="385"/>
      <c r="AA424" s="128"/>
    </row>
    <row r="425" spans="1:27" ht="37.5" hidden="1">
      <c r="A425" s="437" t="s">
        <v>313</v>
      </c>
      <c r="B425" s="439" t="s">
        <v>719</v>
      </c>
      <c r="C425" s="520"/>
      <c r="D425" s="520"/>
      <c r="E425" s="520">
        <v>282</v>
      </c>
      <c r="F425" s="520">
        <v>12</v>
      </c>
      <c r="G425" s="520" t="s">
        <v>344</v>
      </c>
      <c r="H425" s="521">
        <v>100</v>
      </c>
      <c r="I425" s="707">
        <v>52768000</v>
      </c>
      <c r="J425" s="472">
        <v>52768000</v>
      </c>
      <c r="K425" s="561"/>
      <c r="L425" s="518">
        <f t="shared" si="210"/>
        <v>100</v>
      </c>
      <c r="M425" s="519" t="e">
        <f t="shared" si="211"/>
        <v>#DIV/0!</v>
      </c>
    </row>
    <row r="426" spans="1:27" ht="18.75" hidden="1">
      <c r="A426" s="437" t="s">
        <v>314</v>
      </c>
      <c r="B426" s="439" t="s">
        <v>720</v>
      </c>
      <c r="C426" s="550"/>
      <c r="D426" s="550"/>
      <c r="E426" s="550"/>
      <c r="F426" s="550"/>
      <c r="G426" s="550"/>
      <c r="H426" s="551"/>
      <c r="I426" s="708">
        <v>49680000</v>
      </c>
      <c r="J426" s="472">
        <v>33585750</v>
      </c>
      <c r="K426" s="561">
        <v>33872100</v>
      </c>
      <c r="L426" s="519">
        <f t="shared" si="210"/>
        <v>67.604166666666671</v>
      </c>
      <c r="M426" s="519">
        <f t="shared" si="211"/>
        <v>99.154613974332861</v>
      </c>
    </row>
    <row r="427" spans="1:27" ht="21.75" hidden="1" customHeight="1">
      <c r="A427" s="428" t="s">
        <v>16</v>
      </c>
      <c r="B427" s="454" t="s">
        <v>70</v>
      </c>
      <c r="C427" s="123">
        <v>1110440</v>
      </c>
      <c r="D427" s="123">
        <v>412</v>
      </c>
      <c r="E427" s="520"/>
      <c r="F427" s="520"/>
      <c r="G427" s="520"/>
      <c r="H427" s="521"/>
      <c r="I427" s="470">
        <f t="shared" ref="I427:K427" si="213">+I428</f>
        <v>0</v>
      </c>
      <c r="J427" s="470">
        <f t="shared" si="213"/>
        <v>0</v>
      </c>
      <c r="K427" s="556">
        <f t="shared" si="213"/>
        <v>140729583</v>
      </c>
      <c r="L427" s="519" t="e">
        <f t="shared" si="210"/>
        <v>#DIV/0!</v>
      </c>
      <c r="M427" s="519">
        <f t="shared" si="211"/>
        <v>0</v>
      </c>
    </row>
    <row r="428" spans="1:27" ht="37.5" hidden="1">
      <c r="A428" s="437"/>
      <c r="B428" s="456" t="s">
        <v>721</v>
      </c>
      <c r="C428" s="123">
        <v>1110440</v>
      </c>
      <c r="D428" s="123">
        <v>412</v>
      </c>
      <c r="E428" s="536">
        <v>280</v>
      </c>
      <c r="F428" s="520"/>
      <c r="G428" s="520"/>
      <c r="H428" s="521"/>
      <c r="I428" s="491">
        <v>0</v>
      </c>
      <c r="J428" s="472"/>
      <c r="K428" s="561">
        <v>140729583</v>
      </c>
      <c r="L428" s="519" t="e">
        <f t="shared" si="210"/>
        <v>#DIV/0!</v>
      </c>
      <c r="M428" s="519">
        <f t="shared" si="211"/>
        <v>0</v>
      </c>
    </row>
    <row r="429" spans="1:27" ht="19.5" hidden="1">
      <c r="A429" s="428" t="s">
        <v>26</v>
      </c>
      <c r="B429" s="457" t="s">
        <v>685</v>
      </c>
      <c r="C429" s="520"/>
      <c r="D429" s="520"/>
      <c r="E429" s="520">
        <v>283</v>
      </c>
      <c r="F429" s="520"/>
      <c r="G429" s="520"/>
      <c r="H429" s="521"/>
      <c r="I429" s="470">
        <f t="shared" ref="I429:K429" si="214">+I430</f>
        <v>0</v>
      </c>
      <c r="J429" s="470">
        <f t="shared" si="214"/>
        <v>0</v>
      </c>
      <c r="K429" s="556">
        <f t="shared" si="214"/>
        <v>60622000</v>
      </c>
      <c r="L429" s="519" t="e">
        <f t="shared" si="210"/>
        <v>#DIV/0!</v>
      </c>
      <c r="M429" s="519">
        <f t="shared" si="211"/>
        <v>0</v>
      </c>
    </row>
    <row r="430" spans="1:27" ht="47.25" hidden="1" customHeight="1">
      <c r="A430" s="437"/>
      <c r="B430" s="456" t="s">
        <v>722</v>
      </c>
      <c r="C430" s="520"/>
      <c r="D430" s="520"/>
      <c r="E430" s="520"/>
      <c r="F430" s="520"/>
      <c r="G430" s="520"/>
      <c r="H430" s="521"/>
      <c r="I430" s="488">
        <v>0</v>
      </c>
      <c r="J430" s="472"/>
      <c r="K430" s="561">
        <v>60622000</v>
      </c>
      <c r="L430" s="519" t="e">
        <f t="shared" si="210"/>
        <v>#DIV/0!</v>
      </c>
      <c r="M430" s="519">
        <f t="shared" si="211"/>
        <v>0</v>
      </c>
    </row>
    <row r="431" spans="1:27" s="603" customFormat="1" ht="47.25" hidden="1" customHeight="1">
      <c r="A431" s="607" t="s">
        <v>783</v>
      </c>
      <c r="B431" s="629" t="s">
        <v>779</v>
      </c>
      <c r="C431" s="686"/>
      <c r="D431" s="686"/>
      <c r="E431" s="686"/>
      <c r="F431" s="686"/>
      <c r="G431" s="686"/>
      <c r="H431" s="685"/>
      <c r="I431" s="706">
        <f>+I432</f>
        <v>202935000</v>
      </c>
      <c r="J431" s="706">
        <f t="shared" ref="J431:K431" si="215">+J432</f>
        <v>202935000</v>
      </c>
      <c r="K431" s="706">
        <f t="shared" si="215"/>
        <v>0</v>
      </c>
      <c r="L431" s="634"/>
      <c r="M431" s="634"/>
      <c r="R431" s="604"/>
      <c r="S431" s="604"/>
    </row>
    <row r="432" spans="1:27" ht="47.25" hidden="1" customHeight="1">
      <c r="A432" s="437"/>
      <c r="B432" s="705" t="s">
        <v>774</v>
      </c>
      <c r="C432" s="520"/>
      <c r="D432" s="520"/>
      <c r="E432" s="520"/>
      <c r="F432" s="520"/>
      <c r="G432" s="520"/>
      <c r="H432" s="521"/>
      <c r="I432" s="488">
        <v>202935000</v>
      </c>
      <c r="J432" s="472">
        <v>202935000</v>
      </c>
      <c r="K432" s="561"/>
      <c r="L432" s="519"/>
      <c r="M432" s="519"/>
    </row>
    <row r="433" spans="1:29" ht="18.75" hidden="1">
      <c r="A433" s="428">
        <v>3</v>
      </c>
      <c r="B433" s="421" t="s">
        <v>537</v>
      </c>
      <c r="C433" s="406"/>
      <c r="D433" s="406"/>
      <c r="E433" s="406"/>
      <c r="F433" s="406"/>
      <c r="G433" s="406"/>
      <c r="H433" s="552"/>
      <c r="I433" s="475">
        <f t="shared" ref="I433:K433" si="216">SUM(I434:I435)</f>
        <v>30100000</v>
      </c>
      <c r="J433" s="475">
        <f t="shared" si="216"/>
        <v>30100000</v>
      </c>
      <c r="K433" s="553">
        <f t="shared" si="216"/>
        <v>30100000</v>
      </c>
      <c r="L433" s="518">
        <f t="shared" si="210"/>
        <v>100</v>
      </c>
      <c r="M433" s="518">
        <f t="shared" si="211"/>
        <v>100</v>
      </c>
    </row>
    <row r="434" spans="1:29" ht="18.75" hidden="1">
      <c r="A434" s="437"/>
      <c r="B434" s="439" t="s">
        <v>549</v>
      </c>
      <c r="C434" s="406"/>
      <c r="D434" s="406"/>
      <c r="E434" s="406"/>
      <c r="F434" s="406"/>
      <c r="G434" s="406"/>
      <c r="H434" s="552"/>
      <c r="I434" s="488">
        <v>25200000</v>
      </c>
      <c r="J434" s="472">
        <v>25200000</v>
      </c>
      <c r="K434" s="561">
        <v>25200000</v>
      </c>
      <c r="L434" s="518">
        <f t="shared" si="210"/>
        <v>100</v>
      </c>
      <c r="M434" s="518">
        <f t="shared" si="211"/>
        <v>100</v>
      </c>
    </row>
    <row r="435" spans="1:29" ht="37.5" hidden="1">
      <c r="A435" s="437"/>
      <c r="B435" s="439" t="s">
        <v>550</v>
      </c>
      <c r="C435" s="406"/>
      <c r="D435" s="406"/>
      <c r="E435" s="406"/>
      <c r="F435" s="406"/>
      <c r="G435" s="406"/>
      <c r="H435" s="552"/>
      <c r="I435" s="493">
        <v>4900000</v>
      </c>
      <c r="J435" s="472">
        <v>4900000</v>
      </c>
      <c r="K435" s="561">
        <v>4900000</v>
      </c>
      <c r="L435" s="518">
        <f t="shared" si="210"/>
        <v>100</v>
      </c>
      <c r="M435" s="518">
        <f t="shared" si="211"/>
        <v>100</v>
      </c>
    </row>
    <row r="436" spans="1:29" ht="18.75" hidden="1">
      <c r="A436" s="433" t="s">
        <v>104</v>
      </c>
      <c r="B436" s="434" t="s">
        <v>309</v>
      </c>
      <c r="C436" s="406"/>
      <c r="D436" s="406"/>
      <c r="E436" s="406"/>
      <c r="F436" s="406"/>
      <c r="G436" s="406"/>
      <c r="H436" s="552"/>
      <c r="I436" s="484">
        <f>+I437+I460</f>
        <v>10382730545</v>
      </c>
      <c r="J436" s="484">
        <f t="shared" ref="J436:K436" si="217">+J437+J460</f>
        <v>10229593685</v>
      </c>
      <c r="K436" s="484">
        <f t="shared" si="217"/>
        <v>8524692605</v>
      </c>
      <c r="L436" s="518">
        <f t="shared" si="210"/>
        <v>98.525081053232711</v>
      </c>
      <c r="M436" s="518">
        <f t="shared" si="211"/>
        <v>119.99956079354723</v>
      </c>
      <c r="AA436" s="129">
        <v>10368730545</v>
      </c>
      <c r="AC436" s="129"/>
    </row>
    <row r="437" spans="1:29" ht="18.75" hidden="1">
      <c r="A437" s="428" t="s">
        <v>11</v>
      </c>
      <c r="B437" s="429" t="s">
        <v>474</v>
      </c>
      <c r="C437" s="406"/>
      <c r="D437" s="406"/>
      <c r="E437" s="406"/>
      <c r="F437" s="406"/>
      <c r="G437" s="406"/>
      <c r="H437" s="552"/>
      <c r="I437" s="470">
        <f>+I438+I449</f>
        <v>10358230545</v>
      </c>
      <c r="J437" s="470">
        <f t="shared" ref="J437:K437" si="218">+J438+J449</f>
        <v>10205093685</v>
      </c>
      <c r="K437" s="470">
        <f t="shared" si="218"/>
        <v>8501592605</v>
      </c>
      <c r="L437" s="518">
        <f t="shared" si="210"/>
        <v>98.521592473398655</v>
      </c>
      <c r="M437" s="518">
        <f t="shared" si="211"/>
        <v>120.03743485659533</v>
      </c>
      <c r="AA437" s="129">
        <f>+AA436-I436</f>
        <v>-14000000</v>
      </c>
    </row>
    <row r="438" spans="1:29" ht="18.75" hidden="1">
      <c r="A438" s="428">
        <v>1</v>
      </c>
      <c r="B438" s="421" t="s">
        <v>7</v>
      </c>
      <c r="C438" s="406"/>
      <c r="D438" s="406"/>
      <c r="E438" s="406"/>
      <c r="F438" s="406"/>
      <c r="G438" s="406"/>
      <c r="H438" s="552"/>
      <c r="I438" s="486">
        <f t="shared" ref="I438" si="219">I439+I447</f>
        <v>4289035545</v>
      </c>
      <c r="J438" s="486">
        <f t="shared" ref="J438:K438" si="220">J439+J447</f>
        <v>4245214545</v>
      </c>
      <c r="K438" s="486">
        <f t="shared" si="220"/>
        <v>3542102455</v>
      </c>
      <c r="L438" s="518">
        <f t="shared" si="210"/>
        <v>98.978301775766695</v>
      </c>
      <c r="M438" s="518">
        <f t="shared" si="211"/>
        <v>119.85013417687829</v>
      </c>
      <c r="AA438" s="129">
        <f>+I436+10861000000</f>
        <v>21243730545</v>
      </c>
      <c r="AB438" s="129">
        <f>+J436+I551</f>
        <v>21090593685</v>
      </c>
    </row>
    <row r="439" spans="1:29" ht="19.5" hidden="1">
      <c r="A439" s="435" t="s">
        <v>8</v>
      </c>
      <c r="B439" s="436" t="s">
        <v>74</v>
      </c>
      <c r="C439" s="406"/>
      <c r="D439" s="406"/>
      <c r="E439" s="406"/>
      <c r="F439" s="406"/>
      <c r="G439" s="406"/>
      <c r="H439" s="552"/>
      <c r="I439" s="485">
        <f t="shared" ref="I439" si="221">I440+I446</f>
        <v>4289035545</v>
      </c>
      <c r="J439" s="485">
        <f t="shared" ref="J439:K439" si="222">J440+J446</f>
        <v>4245214545</v>
      </c>
      <c r="K439" s="485">
        <f t="shared" si="222"/>
        <v>3299000000</v>
      </c>
      <c r="L439" s="518">
        <f t="shared" si="210"/>
        <v>98.978301775766695</v>
      </c>
      <c r="M439" s="518">
        <f t="shared" si="211"/>
        <v>128.68185950287966</v>
      </c>
    </row>
    <row r="440" spans="1:29" ht="18.75" hidden="1">
      <c r="A440" s="437" t="s">
        <v>14</v>
      </c>
      <c r="B440" s="438" t="s">
        <v>524</v>
      </c>
      <c r="C440" s="406"/>
      <c r="D440" s="406"/>
      <c r="E440" s="406"/>
      <c r="F440" s="406"/>
      <c r="G440" s="406"/>
      <c r="H440" s="552"/>
      <c r="I440" s="487">
        <f>SUM(I441:I445)</f>
        <v>4063035545</v>
      </c>
      <c r="J440" s="487">
        <f t="shared" ref="J440:K440" si="223">SUM(J441:J445)</f>
        <v>4019214545</v>
      </c>
      <c r="K440" s="487">
        <f t="shared" si="223"/>
        <v>3061000000</v>
      </c>
      <c r="L440" s="518">
        <f t="shared" si="210"/>
        <v>98.921471409377006</v>
      </c>
      <c r="M440" s="518">
        <f t="shared" si="211"/>
        <v>131.30397076118916</v>
      </c>
    </row>
    <row r="441" spans="1:29" ht="18.75" hidden="1">
      <c r="A441" s="437"/>
      <c r="B441" s="439" t="s">
        <v>449</v>
      </c>
      <c r="C441" s="406"/>
      <c r="D441" s="406"/>
      <c r="E441" s="406"/>
      <c r="F441" s="406"/>
      <c r="G441" s="406"/>
      <c r="H441" s="552"/>
      <c r="I441" s="594">
        <f>2433000000</f>
        <v>2433000000</v>
      </c>
      <c r="J441" s="472">
        <v>2433000000</v>
      </c>
      <c r="K441" s="561">
        <v>2379000000</v>
      </c>
      <c r="L441" s="518">
        <f t="shared" si="210"/>
        <v>100</v>
      </c>
      <c r="M441" s="518">
        <f t="shared" si="211"/>
        <v>102.26986128625472</v>
      </c>
    </row>
    <row r="442" spans="1:29" ht="37.5" hidden="1">
      <c r="A442" s="437"/>
      <c r="B442" s="438" t="s">
        <v>769</v>
      </c>
      <c r="C442" s="406"/>
      <c r="D442" s="406"/>
      <c r="E442" s="406"/>
      <c r="F442" s="406"/>
      <c r="G442" s="406"/>
      <c r="H442" s="552"/>
      <c r="I442" s="594">
        <v>506000000</v>
      </c>
      <c r="J442" s="472">
        <v>484125999</v>
      </c>
      <c r="K442" s="561"/>
      <c r="L442" s="518"/>
      <c r="M442" s="518"/>
    </row>
    <row r="443" spans="1:29" ht="56.25" hidden="1">
      <c r="A443" s="437"/>
      <c r="B443" s="659" t="s">
        <v>759</v>
      </c>
      <c r="C443" s="406"/>
      <c r="D443" s="406"/>
      <c r="E443" s="406"/>
      <c r="F443" s="406"/>
      <c r="G443" s="406"/>
      <c r="H443" s="552"/>
      <c r="I443" s="594">
        <v>5427545</v>
      </c>
      <c r="K443" s="561"/>
      <c r="L443" s="518"/>
      <c r="M443" s="518"/>
    </row>
    <row r="444" spans="1:29" ht="49.5" hidden="1">
      <c r="A444" s="437"/>
      <c r="B444" s="701" t="s">
        <v>762</v>
      </c>
      <c r="C444" s="406"/>
      <c r="D444" s="406"/>
      <c r="E444" s="406"/>
      <c r="F444" s="406"/>
      <c r="G444" s="406"/>
      <c r="H444" s="552"/>
      <c r="I444" s="594">
        <f>428608000</f>
        <v>428608000</v>
      </c>
      <c r="J444" s="472">
        <v>423088546</v>
      </c>
      <c r="K444" s="561"/>
      <c r="L444" s="518"/>
      <c r="M444" s="518"/>
    </row>
    <row r="445" spans="1:29" ht="18.75" hidden="1">
      <c r="A445" s="437"/>
      <c r="B445" s="439" t="s">
        <v>10</v>
      </c>
      <c r="C445" s="406"/>
      <c r="D445" s="406"/>
      <c r="E445" s="406"/>
      <c r="F445" s="406"/>
      <c r="G445" s="406"/>
      <c r="H445" s="552"/>
      <c r="I445" s="488">
        <v>690000000</v>
      </c>
      <c r="J445" s="472">
        <f>690000000-11000000</f>
        <v>679000000</v>
      </c>
      <c r="K445" s="561">
        <v>682000000</v>
      </c>
      <c r="L445" s="518">
        <f t="shared" si="210"/>
        <v>98.405797101449281</v>
      </c>
      <c r="M445" s="518">
        <f t="shared" si="211"/>
        <v>99.560117302052788</v>
      </c>
    </row>
    <row r="446" spans="1:29" ht="37.5" hidden="1">
      <c r="A446" s="437" t="s">
        <v>15</v>
      </c>
      <c r="B446" s="438" t="s">
        <v>481</v>
      </c>
      <c r="C446" s="406"/>
      <c r="D446" s="406"/>
      <c r="E446" s="406"/>
      <c r="F446" s="406"/>
      <c r="G446" s="406"/>
      <c r="H446" s="552"/>
      <c r="I446" s="493">
        <v>226000000</v>
      </c>
      <c r="J446" s="472">
        <v>226000000</v>
      </c>
      <c r="K446" s="561">
        <v>238000000</v>
      </c>
      <c r="L446" s="518">
        <f t="shared" si="210"/>
        <v>100</v>
      </c>
      <c r="M446" s="518">
        <f t="shared" si="211"/>
        <v>94.9579831932773</v>
      </c>
    </row>
    <row r="447" spans="1:29" ht="19.5" hidden="1">
      <c r="A447" s="435" t="s">
        <v>9</v>
      </c>
      <c r="B447" s="436" t="s">
        <v>69</v>
      </c>
      <c r="C447" s="406"/>
      <c r="D447" s="406"/>
      <c r="E447" s="406"/>
      <c r="F447" s="406"/>
      <c r="G447" s="406"/>
      <c r="H447" s="552"/>
      <c r="I447" s="471">
        <f t="shared" ref="I447:K447" si="224">I448</f>
        <v>0</v>
      </c>
      <c r="J447" s="471">
        <f t="shared" si="224"/>
        <v>0</v>
      </c>
      <c r="K447" s="563">
        <f t="shared" si="224"/>
        <v>243102455</v>
      </c>
      <c r="L447" s="519" t="e">
        <f t="shared" si="210"/>
        <v>#DIV/0!</v>
      </c>
      <c r="M447" s="519">
        <f t="shared" si="211"/>
        <v>0</v>
      </c>
    </row>
    <row r="448" spans="1:29" ht="37.5" hidden="1">
      <c r="A448" s="428"/>
      <c r="B448" s="438" t="s">
        <v>525</v>
      </c>
      <c r="C448" s="406"/>
      <c r="D448" s="406"/>
      <c r="E448" s="406"/>
      <c r="F448" s="406"/>
      <c r="G448" s="406"/>
      <c r="H448" s="552"/>
      <c r="I448" s="594">
        <f>511427545-506000000-5427545</f>
        <v>0</v>
      </c>
      <c r="J448" s="594">
        <f>511427545-506000000-5427545</f>
        <v>0</v>
      </c>
      <c r="K448" s="561">
        <v>243102455</v>
      </c>
      <c r="L448" s="519" t="e">
        <f t="shared" si="210"/>
        <v>#DIV/0!</v>
      </c>
      <c r="M448" s="519">
        <f t="shared" si="211"/>
        <v>0</v>
      </c>
    </row>
    <row r="449" spans="1:29" s="603" customFormat="1" ht="18.75" hidden="1">
      <c r="A449" s="607">
        <v>2</v>
      </c>
      <c r="B449" s="597" t="s">
        <v>608</v>
      </c>
      <c r="C449" s="598"/>
      <c r="D449" s="598"/>
      <c r="E449" s="598"/>
      <c r="F449" s="598"/>
      <c r="G449" s="598"/>
      <c r="H449" s="599"/>
      <c r="I449" s="677">
        <f>+I450+I458</f>
        <v>6069195000</v>
      </c>
      <c r="J449" s="677">
        <f t="shared" ref="J449:K449" si="225">+J450+J458</f>
        <v>5959879140</v>
      </c>
      <c r="K449" s="677">
        <f t="shared" si="225"/>
        <v>4959490150</v>
      </c>
      <c r="L449" s="634"/>
      <c r="M449" s="634"/>
      <c r="R449" s="604"/>
      <c r="S449" s="604"/>
    </row>
    <row r="450" spans="1:29" ht="18.75" hidden="1">
      <c r="A450" s="428" t="s">
        <v>12</v>
      </c>
      <c r="B450" s="421" t="s">
        <v>771</v>
      </c>
      <c r="C450" s="406"/>
      <c r="D450" s="406"/>
      <c r="E450" s="406"/>
      <c r="F450" s="406"/>
      <c r="G450" s="406"/>
      <c r="H450" s="552"/>
      <c r="I450" s="486">
        <f>SUM(I451:I453)+I457</f>
        <v>5927000000</v>
      </c>
      <c r="J450" s="486">
        <f t="shared" ref="J450:K450" si="226">SUM(J451:J453)+J457</f>
        <v>5817797940</v>
      </c>
      <c r="K450" s="486">
        <f t="shared" si="226"/>
        <v>4959490150</v>
      </c>
      <c r="L450" s="518">
        <f t="shared" si="210"/>
        <v>98.157549181710806</v>
      </c>
      <c r="M450" s="518">
        <f t="shared" si="211"/>
        <v>117.30637150272392</v>
      </c>
    </row>
    <row r="451" spans="1:29" ht="18.75" hidden="1">
      <c r="A451" s="437" t="s">
        <v>14</v>
      </c>
      <c r="B451" s="441" t="s">
        <v>36</v>
      </c>
      <c r="C451" s="406"/>
      <c r="D451" s="406"/>
      <c r="E451" s="406"/>
      <c r="F451" s="406"/>
      <c r="G451" s="406"/>
      <c r="H451" s="552"/>
      <c r="I451" s="487">
        <v>78000000</v>
      </c>
      <c r="J451" s="472">
        <v>61800000</v>
      </c>
      <c r="K451" s="561">
        <v>75560000</v>
      </c>
      <c r="L451" s="518">
        <f t="shared" si="210"/>
        <v>79.230769230769226</v>
      </c>
      <c r="M451" s="518">
        <f t="shared" si="211"/>
        <v>81.789306511381682</v>
      </c>
    </row>
    <row r="452" spans="1:29" ht="18.75" hidden="1">
      <c r="A452" s="437" t="s">
        <v>15</v>
      </c>
      <c r="B452" s="441" t="s">
        <v>75</v>
      </c>
      <c r="C452" s="406"/>
      <c r="D452" s="406"/>
      <c r="E452" s="406"/>
      <c r="F452" s="406"/>
      <c r="G452" s="406"/>
      <c r="H452" s="552"/>
      <c r="I452" s="489">
        <v>691000000</v>
      </c>
      <c r="J452" s="472">
        <v>633600000</v>
      </c>
      <c r="K452" s="561">
        <v>644800000</v>
      </c>
      <c r="L452" s="518">
        <f t="shared" si="210"/>
        <v>91.693198263386392</v>
      </c>
      <c r="M452" s="518">
        <f t="shared" si="211"/>
        <v>98.263027295285355</v>
      </c>
    </row>
    <row r="453" spans="1:29" ht="18.75" hidden="1">
      <c r="A453" s="437" t="s">
        <v>24</v>
      </c>
      <c r="B453" s="441" t="s">
        <v>76</v>
      </c>
      <c r="C453" s="406"/>
      <c r="D453" s="406"/>
      <c r="E453" s="406"/>
      <c r="F453" s="406"/>
      <c r="G453" s="406"/>
      <c r="H453" s="552"/>
      <c r="I453" s="488">
        <f t="shared" ref="I453:K453" si="227">SUM(I454:I456)</f>
        <v>4771789000</v>
      </c>
      <c r="J453" s="488">
        <f t="shared" si="227"/>
        <v>4747397940</v>
      </c>
      <c r="K453" s="488">
        <f t="shared" si="227"/>
        <v>4239130150</v>
      </c>
      <c r="L453" s="518">
        <f t="shared" si="210"/>
        <v>99.488848731576354</v>
      </c>
      <c r="M453" s="518">
        <f t="shared" si="211"/>
        <v>111.98990764650149</v>
      </c>
    </row>
    <row r="454" spans="1:29" ht="18.75" hidden="1">
      <c r="A454" s="443"/>
      <c r="B454" s="452" t="s">
        <v>63</v>
      </c>
      <c r="C454" s="406"/>
      <c r="D454" s="406"/>
      <c r="E454" s="406"/>
      <c r="F454" s="406"/>
      <c r="G454" s="406"/>
      <c r="H454" s="552"/>
      <c r="I454" s="591">
        <f>4447000000-386211000</f>
        <v>4060789000</v>
      </c>
      <c r="J454" s="472">
        <v>4061974110</v>
      </c>
      <c r="K454" s="561">
        <v>3576608900</v>
      </c>
      <c r="L454" s="519">
        <f t="shared" si="210"/>
        <v>100.02918422996123</v>
      </c>
      <c r="M454" s="519">
        <f t="shared" si="211"/>
        <v>113.570541917513</v>
      </c>
    </row>
    <row r="455" spans="1:29" ht="37.5" hidden="1">
      <c r="A455" s="443"/>
      <c r="B455" s="452" t="s">
        <v>64</v>
      </c>
      <c r="C455" s="406"/>
      <c r="D455" s="406"/>
      <c r="E455" s="406"/>
      <c r="F455" s="406"/>
      <c r="G455" s="406"/>
      <c r="H455" s="552"/>
      <c r="I455" s="488">
        <v>550000000</v>
      </c>
      <c r="J455" s="472">
        <v>534423830</v>
      </c>
      <c r="K455" s="561">
        <v>501596250</v>
      </c>
      <c r="L455" s="518">
        <f t="shared" si="210"/>
        <v>97.167969090909097</v>
      </c>
      <c r="M455" s="519">
        <f t="shared" si="211"/>
        <v>106.54462229332854</v>
      </c>
    </row>
    <row r="456" spans="1:29" ht="18.75" hidden="1">
      <c r="A456" s="443"/>
      <c r="B456" s="452" t="s">
        <v>27</v>
      </c>
      <c r="C456" s="406"/>
      <c r="D456" s="406"/>
      <c r="E456" s="406"/>
      <c r="F456" s="406"/>
      <c r="G456" s="406"/>
      <c r="H456" s="552"/>
      <c r="I456" s="472">
        <v>161000000</v>
      </c>
      <c r="J456" s="472">
        <v>151000000</v>
      </c>
      <c r="K456" s="561">
        <v>160925000</v>
      </c>
      <c r="L456" s="519">
        <f t="shared" si="210"/>
        <v>93.788819875776397</v>
      </c>
      <c r="M456" s="519">
        <f t="shared" si="211"/>
        <v>93.832530681994726</v>
      </c>
    </row>
    <row r="457" spans="1:29" ht="18.75" hidden="1">
      <c r="A457" s="443" t="s">
        <v>313</v>
      </c>
      <c r="B457" s="623" t="s">
        <v>748</v>
      </c>
      <c r="C457" s="406"/>
      <c r="D457" s="406"/>
      <c r="E457" s="406"/>
      <c r="F457" s="406"/>
      <c r="G457" s="406"/>
      <c r="H457" s="552"/>
      <c r="I457" s="472">
        <v>386211000</v>
      </c>
      <c r="J457" s="472">
        <v>375000000</v>
      </c>
      <c r="K457" s="561"/>
      <c r="L457" s="519"/>
      <c r="M457" s="519"/>
    </row>
    <row r="458" spans="1:29" s="603" customFormat="1" ht="19.5" hidden="1">
      <c r="A458" s="596" t="s">
        <v>13</v>
      </c>
      <c r="B458" s="629" t="s">
        <v>779</v>
      </c>
      <c r="C458" s="598"/>
      <c r="D458" s="598"/>
      <c r="E458" s="598"/>
      <c r="F458" s="598"/>
      <c r="G458" s="598"/>
      <c r="H458" s="599"/>
      <c r="I458" s="633">
        <f>+I459</f>
        <v>142195000</v>
      </c>
      <c r="J458" s="633">
        <f t="shared" ref="J458:K458" si="228">+J459</f>
        <v>142081200</v>
      </c>
      <c r="K458" s="633">
        <f t="shared" si="228"/>
        <v>0</v>
      </c>
      <c r="L458" s="634"/>
      <c r="M458" s="634"/>
      <c r="R458" s="604"/>
      <c r="S458" s="604"/>
    </row>
    <row r="459" spans="1:29" ht="33" hidden="1">
      <c r="A459" s="443"/>
      <c r="B459" s="705" t="s">
        <v>774</v>
      </c>
      <c r="C459" s="406"/>
      <c r="D459" s="406"/>
      <c r="E459" s="406"/>
      <c r="F459" s="406"/>
      <c r="G459" s="406"/>
      <c r="H459" s="552"/>
      <c r="I459" s="472">
        <v>142195000</v>
      </c>
      <c r="J459" s="472">
        <v>142081200</v>
      </c>
      <c r="K459" s="561"/>
      <c r="L459" s="519"/>
      <c r="M459" s="519"/>
    </row>
    <row r="460" spans="1:29" s="603" customFormat="1" ht="19.5" hidden="1">
      <c r="A460" s="596">
        <v>3</v>
      </c>
      <c r="B460" s="597" t="s">
        <v>537</v>
      </c>
      <c r="C460" s="598"/>
      <c r="D460" s="598"/>
      <c r="E460" s="598"/>
      <c r="F460" s="598"/>
      <c r="G460" s="598"/>
      <c r="H460" s="599"/>
      <c r="I460" s="600">
        <f t="shared" ref="I460:K460" si="229">I461+I462</f>
        <v>24500000</v>
      </c>
      <c r="J460" s="600">
        <f t="shared" si="229"/>
        <v>24500000</v>
      </c>
      <c r="K460" s="601">
        <f t="shared" si="229"/>
        <v>23100000</v>
      </c>
      <c r="L460" s="602">
        <f t="shared" si="210"/>
        <v>100</v>
      </c>
      <c r="M460" s="602">
        <f t="shared" si="211"/>
        <v>106.06060606060606</v>
      </c>
      <c r="R460" s="604"/>
      <c r="S460" s="604"/>
    </row>
    <row r="461" spans="1:29" ht="18.75" hidden="1">
      <c r="A461" s="443"/>
      <c r="B461" s="439" t="s">
        <v>551</v>
      </c>
      <c r="C461" s="406"/>
      <c r="D461" s="406"/>
      <c r="E461" s="406"/>
      <c r="F461" s="406"/>
      <c r="G461" s="406"/>
      <c r="H461" s="552"/>
      <c r="I461" s="476">
        <v>22400000</v>
      </c>
      <c r="J461" s="472">
        <v>22400000</v>
      </c>
      <c r="K461" s="561">
        <v>21000000</v>
      </c>
      <c r="L461" s="518">
        <f t="shared" si="210"/>
        <v>100</v>
      </c>
      <c r="M461" s="518">
        <f t="shared" si="211"/>
        <v>106.66666666666667</v>
      </c>
    </row>
    <row r="462" spans="1:29" ht="37.5" hidden="1">
      <c r="A462" s="435"/>
      <c r="B462" s="439" t="s">
        <v>552</v>
      </c>
      <c r="C462" s="406"/>
      <c r="D462" s="406"/>
      <c r="E462" s="406"/>
      <c r="F462" s="406"/>
      <c r="G462" s="406"/>
      <c r="H462" s="552"/>
      <c r="I462" s="487">
        <v>2100000</v>
      </c>
      <c r="J462" s="472">
        <v>2100000</v>
      </c>
      <c r="K462" s="561">
        <v>2100000</v>
      </c>
      <c r="L462" s="518">
        <f t="shared" si="210"/>
        <v>100</v>
      </c>
      <c r="M462" s="518">
        <f t="shared" si="211"/>
        <v>100</v>
      </c>
    </row>
    <row r="463" spans="1:29" ht="37.5" hidden="1">
      <c r="A463" s="433" t="s">
        <v>105</v>
      </c>
      <c r="B463" s="434" t="s">
        <v>308</v>
      </c>
      <c r="C463" s="406"/>
      <c r="D463" s="406"/>
      <c r="E463" s="406"/>
      <c r="F463" s="406"/>
      <c r="G463" s="406"/>
      <c r="H463" s="552"/>
      <c r="I463" s="484">
        <f>+I464+I466+I487</f>
        <v>7157400000</v>
      </c>
      <c r="J463" s="484">
        <f t="shared" ref="J463:K463" si="230">+J464+J466+J487</f>
        <v>7024851150</v>
      </c>
      <c r="K463" s="484">
        <f t="shared" si="230"/>
        <v>5718605214</v>
      </c>
      <c r="L463" s="518">
        <f t="shared" si="210"/>
        <v>98.148086595691169</v>
      </c>
      <c r="M463" s="518">
        <f t="shared" si="211"/>
        <v>122.84203729962184</v>
      </c>
      <c r="AA463" s="129">
        <v>7157400000</v>
      </c>
      <c r="AB463" s="129"/>
      <c r="AC463" s="129"/>
    </row>
    <row r="464" spans="1:29" ht="18.75" hidden="1">
      <c r="A464" s="428" t="s">
        <v>11</v>
      </c>
      <c r="B464" s="429" t="s">
        <v>723</v>
      </c>
      <c r="C464" s="406"/>
      <c r="D464" s="406"/>
      <c r="E464" s="406"/>
      <c r="F464" s="406"/>
      <c r="G464" s="406"/>
      <c r="H464" s="552"/>
      <c r="I464" s="492">
        <f t="shared" ref="I464:K464" si="231">+I465</f>
        <v>0</v>
      </c>
      <c r="J464" s="492">
        <f t="shared" si="231"/>
        <v>0</v>
      </c>
      <c r="K464" s="568">
        <f t="shared" si="231"/>
        <v>799593700</v>
      </c>
      <c r="L464" s="519" t="e">
        <f t="shared" si="210"/>
        <v>#DIV/0!</v>
      </c>
      <c r="M464" s="519">
        <f t="shared" si="211"/>
        <v>0</v>
      </c>
    </row>
    <row r="465" spans="1:27" ht="37.5" hidden="1">
      <c r="A465" s="428"/>
      <c r="B465" s="439" t="s">
        <v>724</v>
      </c>
      <c r="C465" s="406"/>
      <c r="D465" s="406"/>
      <c r="E465" s="406"/>
      <c r="F465" s="406"/>
      <c r="G465" s="406"/>
      <c r="H465" s="552"/>
      <c r="I465" s="471">
        <v>0</v>
      </c>
      <c r="J465" s="472">
        <v>0</v>
      </c>
      <c r="K465" s="561">
        <v>799593700</v>
      </c>
      <c r="L465" s="519" t="e">
        <f t="shared" si="210"/>
        <v>#DIV/0!</v>
      </c>
      <c r="M465" s="519">
        <f t="shared" si="211"/>
        <v>0</v>
      </c>
      <c r="AA465" s="129">
        <f>+AA463-I463</f>
        <v>0</v>
      </c>
    </row>
    <row r="466" spans="1:27" ht="18.75" hidden="1">
      <c r="A466" s="428" t="s">
        <v>217</v>
      </c>
      <c r="B466" s="429" t="s">
        <v>463</v>
      </c>
      <c r="C466" s="406"/>
      <c r="D466" s="406"/>
      <c r="E466" s="406"/>
      <c r="F466" s="406"/>
      <c r="G466" s="406"/>
      <c r="H466" s="552"/>
      <c r="I466" s="470">
        <f>+I467+I474</f>
        <v>7086000000</v>
      </c>
      <c r="J466" s="470">
        <f t="shared" ref="J466:K466" si="232">+J467+J474</f>
        <v>6953451150</v>
      </c>
      <c r="K466" s="470">
        <f t="shared" si="232"/>
        <v>4851811514</v>
      </c>
      <c r="L466" s="518">
        <f t="shared" si="210"/>
        <v>98.129426333615584</v>
      </c>
      <c r="M466" s="518">
        <f t="shared" si="211"/>
        <v>143.31659690273779</v>
      </c>
    </row>
    <row r="467" spans="1:27" ht="18.75" hidden="1">
      <c r="A467" s="428">
        <v>1</v>
      </c>
      <c r="B467" s="421" t="s">
        <v>7</v>
      </c>
      <c r="C467" s="406"/>
      <c r="D467" s="406"/>
      <c r="E467" s="406"/>
      <c r="F467" s="406"/>
      <c r="G467" s="406"/>
      <c r="H467" s="552"/>
      <c r="I467" s="486">
        <f t="shared" ref="I467" si="233">I469+I472</f>
        <v>738000000</v>
      </c>
      <c r="J467" s="486">
        <f t="shared" ref="J467:K467" si="234">J469+J472</f>
        <v>738000000</v>
      </c>
      <c r="K467" s="486">
        <f t="shared" si="234"/>
        <v>697000000</v>
      </c>
      <c r="L467" s="518">
        <f t="shared" si="210"/>
        <v>100</v>
      </c>
      <c r="M467" s="518">
        <f t="shared" si="211"/>
        <v>105.88235294117648</v>
      </c>
      <c r="AA467" s="129">
        <f>+I463+I544</f>
        <v>7167400000</v>
      </c>
    </row>
    <row r="468" spans="1:27" ht="18.75" hidden="1">
      <c r="A468" s="428" t="s">
        <v>8</v>
      </c>
      <c r="B468" s="421" t="s">
        <v>67</v>
      </c>
      <c r="C468" s="406"/>
      <c r="D468" s="406"/>
      <c r="E468" s="406"/>
      <c r="F468" s="406"/>
      <c r="G468" s="406"/>
      <c r="H468" s="552"/>
      <c r="I468" s="486">
        <f>+I469</f>
        <v>738000000</v>
      </c>
      <c r="J468" s="486">
        <f t="shared" ref="J468:K468" si="235">+J469</f>
        <v>738000000</v>
      </c>
      <c r="K468" s="486">
        <f t="shared" si="235"/>
        <v>697000000</v>
      </c>
      <c r="L468" s="518">
        <f t="shared" si="210"/>
        <v>100</v>
      </c>
      <c r="M468" s="518">
        <f t="shared" si="211"/>
        <v>105.88235294117648</v>
      </c>
    </row>
    <row r="469" spans="1:27" ht="19.5" hidden="1" thickBot="1">
      <c r="A469" s="428"/>
      <c r="B469" s="438" t="s">
        <v>524</v>
      </c>
      <c r="C469" s="406"/>
      <c r="D469" s="406"/>
      <c r="E469" s="406"/>
      <c r="F469" s="406"/>
      <c r="G469" s="406"/>
      <c r="H469" s="552"/>
      <c r="I469" s="487">
        <f t="shared" ref="I469:K469" si="236">I470</f>
        <v>738000000</v>
      </c>
      <c r="J469" s="487">
        <f t="shared" si="236"/>
        <v>738000000</v>
      </c>
      <c r="K469" s="560">
        <f t="shared" si="236"/>
        <v>697000000</v>
      </c>
      <c r="L469" s="518">
        <f t="shared" si="210"/>
        <v>100</v>
      </c>
      <c r="M469" s="518">
        <f t="shared" si="211"/>
        <v>105.88235294117648</v>
      </c>
      <c r="AA469" s="129">
        <f>+J463+J544</f>
        <v>7031051180</v>
      </c>
    </row>
    <row r="470" spans="1:27" ht="19.5" hidden="1" thickBot="1">
      <c r="A470" s="437"/>
      <c r="B470" s="439" t="s">
        <v>65</v>
      </c>
      <c r="C470" s="406"/>
      <c r="D470" s="406"/>
      <c r="E470" s="406"/>
      <c r="F470" s="406"/>
      <c r="G470" s="406"/>
      <c r="H470" s="552"/>
      <c r="I470" s="586">
        <f>710000000+28000000</f>
        <v>738000000</v>
      </c>
      <c r="J470" s="715">
        <v>738000000</v>
      </c>
      <c r="K470" s="561">
        <v>697000000</v>
      </c>
      <c r="L470" s="518">
        <f t="shared" si="210"/>
        <v>100</v>
      </c>
      <c r="M470" s="518">
        <f t="shared" si="211"/>
        <v>105.88235294117648</v>
      </c>
    </row>
    <row r="471" spans="1:27" ht="18.75" hidden="1">
      <c r="A471" s="428"/>
      <c r="B471" s="439" t="s">
        <v>10</v>
      </c>
      <c r="C471" s="406"/>
      <c r="D471" s="406"/>
      <c r="E471" s="406"/>
      <c r="F471" s="406"/>
      <c r="G471" s="406"/>
      <c r="H471" s="552"/>
      <c r="I471" s="471">
        <v>0</v>
      </c>
      <c r="J471" s="472"/>
      <c r="K471" s="561"/>
      <c r="L471" s="519" t="e">
        <f t="shared" si="210"/>
        <v>#DIV/0!</v>
      </c>
      <c r="M471" s="519" t="e">
        <f t="shared" si="211"/>
        <v>#DIV/0!</v>
      </c>
    </row>
    <row r="472" spans="1:27" ht="18.75" hidden="1">
      <c r="A472" s="428" t="s">
        <v>9</v>
      </c>
      <c r="B472" s="421" t="s">
        <v>69</v>
      </c>
      <c r="C472" s="406"/>
      <c r="D472" s="406"/>
      <c r="E472" s="406"/>
      <c r="F472" s="406"/>
      <c r="G472" s="406"/>
      <c r="H472" s="552"/>
      <c r="I472" s="470">
        <f t="shared" ref="I472:K472" si="237">+I473</f>
        <v>0</v>
      </c>
      <c r="J472" s="470">
        <f t="shared" si="237"/>
        <v>0</v>
      </c>
      <c r="K472" s="556">
        <f t="shared" si="237"/>
        <v>0</v>
      </c>
      <c r="L472" s="519" t="e">
        <f t="shared" si="210"/>
        <v>#DIV/0!</v>
      </c>
      <c r="M472" s="519" t="e">
        <f t="shared" si="211"/>
        <v>#DIV/0!</v>
      </c>
    </row>
    <row r="473" spans="1:27" ht="37.5" hidden="1">
      <c r="A473" s="437"/>
      <c r="B473" s="438" t="s">
        <v>526</v>
      </c>
      <c r="C473" s="406"/>
      <c r="D473" s="406"/>
      <c r="E473" s="406"/>
      <c r="F473" s="406"/>
      <c r="G473" s="406"/>
      <c r="H473" s="552"/>
      <c r="I473" s="595">
        <f>28000000*0</f>
        <v>0</v>
      </c>
      <c r="J473" s="472"/>
      <c r="K473" s="561"/>
      <c r="L473" s="519" t="e">
        <f t="shared" si="210"/>
        <v>#DIV/0!</v>
      </c>
      <c r="M473" s="519" t="e">
        <f t="shared" si="211"/>
        <v>#DIV/0!</v>
      </c>
    </row>
    <row r="474" spans="1:27" s="603" customFormat="1" ht="18.75" hidden="1">
      <c r="A474" s="607">
        <v>2</v>
      </c>
      <c r="B474" s="597" t="s">
        <v>608</v>
      </c>
      <c r="C474" s="598"/>
      <c r="D474" s="598"/>
      <c r="E474" s="598"/>
      <c r="F474" s="598"/>
      <c r="G474" s="598"/>
      <c r="H474" s="599"/>
      <c r="I474" s="681">
        <f>+I475+I482</f>
        <v>6348000000</v>
      </c>
      <c r="J474" s="681">
        <f t="shared" ref="J474:K474" si="238">+J475+J482</f>
        <v>6215451150</v>
      </c>
      <c r="K474" s="681">
        <f t="shared" si="238"/>
        <v>4154811514</v>
      </c>
      <c r="L474" s="634"/>
      <c r="M474" s="634"/>
      <c r="R474" s="604"/>
      <c r="S474" s="604"/>
    </row>
    <row r="475" spans="1:27" ht="18.75" hidden="1">
      <c r="A475" s="428" t="s">
        <v>12</v>
      </c>
      <c r="B475" s="421" t="s">
        <v>771</v>
      </c>
      <c r="C475" s="406"/>
      <c r="D475" s="406"/>
      <c r="E475" s="406"/>
      <c r="F475" s="406"/>
      <c r="G475" s="406"/>
      <c r="H475" s="552"/>
      <c r="I475" s="486">
        <f t="shared" ref="I475" si="239">+SUM(I476:I481)</f>
        <v>2715000000</v>
      </c>
      <c r="J475" s="486">
        <f t="shared" ref="J475:K475" si="240">+SUM(J476:J481)</f>
        <v>2582451150</v>
      </c>
      <c r="K475" s="486">
        <f t="shared" si="240"/>
        <v>4154811514</v>
      </c>
      <c r="L475" s="518">
        <f t="shared" si="210"/>
        <v>95.117906077348067</v>
      </c>
      <c r="M475" s="518">
        <f t="shared" si="211"/>
        <v>62.155675204475713</v>
      </c>
    </row>
    <row r="476" spans="1:27" ht="37.5" hidden="1">
      <c r="A476" s="437" t="s">
        <v>14</v>
      </c>
      <c r="B476" s="424" t="s">
        <v>77</v>
      </c>
      <c r="C476" s="406"/>
      <c r="D476" s="406"/>
      <c r="E476" s="406"/>
      <c r="F476" s="406"/>
      <c r="G476" s="406"/>
      <c r="H476" s="552"/>
      <c r="I476" s="476">
        <v>500000000</v>
      </c>
      <c r="J476" s="587">
        <v>367451150</v>
      </c>
      <c r="K476" s="561">
        <v>477928514</v>
      </c>
      <c r="L476" s="519">
        <f t="shared" si="210"/>
        <v>73.490229999999997</v>
      </c>
      <c r="M476" s="519">
        <f t="shared" si="211"/>
        <v>76.884123720644965</v>
      </c>
    </row>
    <row r="477" spans="1:27" ht="18.75" hidden="1">
      <c r="A477" s="437" t="s">
        <v>15</v>
      </c>
      <c r="B477" s="424" t="s">
        <v>361</v>
      </c>
      <c r="C477" s="406"/>
      <c r="D477" s="406"/>
      <c r="E477" s="406"/>
      <c r="F477" s="406"/>
      <c r="G477" s="406"/>
      <c r="H477" s="552"/>
      <c r="I477" s="476">
        <v>2215000000</v>
      </c>
      <c r="J477" s="586">
        <v>2215000000</v>
      </c>
      <c r="K477" s="561">
        <v>3500000000</v>
      </c>
      <c r="L477" s="518">
        <f t="shared" si="210"/>
        <v>100</v>
      </c>
      <c r="M477" s="518">
        <f t="shared" si="211"/>
        <v>63.285714285714292</v>
      </c>
    </row>
    <row r="478" spans="1:27" ht="37.5" hidden="1">
      <c r="A478" s="437" t="s">
        <v>24</v>
      </c>
      <c r="B478" s="424" t="s">
        <v>725</v>
      </c>
      <c r="C478" s="406"/>
      <c r="D478" s="406"/>
      <c r="E478" s="406"/>
      <c r="F478" s="406"/>
      <c r="G478" s="406"/>
      <c r="H478" s="552"/>
      <c r="I478" s="494">
        <v>0</v>
      </c>
      <c r="J478" s="472"/>
      <c r="K478" s="561">
        <v>176883000</v>
      </c>
      <c r="L478" s="519" t="e">
        <f t="shared" si="210"/>
        <v>#DIV/0!</v>
      </c>
      <c r="M478" s="519">
        <f t="shared" si="211"/>
        <v>0</v>
      </c>
    </row>
    <row r="479" spans="1:27" ht="18.75" hidden="1">
      <c r="A479" s="437" t="s">
        <v>313</v>
      </c>
      <c r="B479" s="424" t="s">
        <v>726</v>
      </c>
      <c r="C479" s="406"/>
      <c r="D479" s="406"/>
      <c r="E479" s="406"/>
      <c r="F479" s="406"/>
      <c r="G479" s="406"/>
      <c r="H479" s="552"/>
      <c r="I479" s="494"/>
      <c r="J479" s="472"/>
      <c r="K479" s="561"/>
      <c r="L479" s="519" t="e">
        <f t="shared" si="210"/>
        <v>#DIV/0!</v>
      </c>
      <c r="M479" s="519" t="e">
        <f t="shared" si="211"/>
        <v>#DIV/0!</v>
      </c>
    </row>
    <row r="480" spans="1:27" ht="18.75" hidden="1">
      <c r="A480" s="437" t="s">
        <v>314</v>
      </c>
      <c r="B480" s="424" t="s">
        <v>727</v>
      </c>
      <c r="C480" s="406"/>
      <c r="D480" s="406"/>
      <c r="E480" s="406"/>
      <c r="F480" s="406"/>
      <c r="G480" s="406"/>
      <c r="H480" s="552"/>
      <c r="I480" s="494"/>
      <c r="J480" s="472"/>
      <c r="K480" s="561"/>
      <c r="L480" s="519" t="e">
        <f t="shared" si="210"/>
        <v>#DIV/0!</v>
      </c>
      <c r="M480" s="519" t="e">
        <f t="shared" si="211"/>
        <v>#DIV/0!</v>
      </c>
    </row>
    <row r="481" spans="1:19" ht="18.75" hidden="1">
      <c r="A481" s="437" t="s">
        <v>315</v>
      </c>
      <c r="B481" s="424" t="s">
        <v>728</v>
      </c>
      <c r="C481" s="406"/>
      <c r="D481" s="406"/>
      <c r="E481" s="406"/>
      <c r="F481" s="406"/>
      <c r="G481" s="406"/>
      <c r="H481" s="552"/>
      <c r="I481" s="494"/>
      <c r="J481" s="472"/>
      <c r="K481" s="561"/>
      <c r="L481" s="519" t="e">
        <f t="shared" si="210"/>
        <v>#DIV/0!</v>
      </c>
      <c r="M481" s="519" t="e">
        <f t="shared" si="211"/>
        <v>#DIV/0!</v>
      </c>
    </row>
    <row r="482" spans="1:19" s="603" customFormat="1" ht="18.75" hidden="1">
      <c r="A482" s="607" t="s">
        <v>13</v>
      </c>
      <c r="B482" s="709" t="s">
        <v>784</v>
      </c>
      <c r="C482" s="598"/>
      <c r="D482" s="598"/>
      <c r="E482" s="598"/>
      <c r="F482" s="598"/>
      <c r="G482" s="598"/>
      <c r="H482" s="599"/>
      <c r="I482" s="710">
        <f t="shared" ref="I482:K482" si="241">+I483+I485</f>
        <v>3633000000</v>
      </c>
      <c r="J482" s="710">
        <f t="shared" si="241"/>
        <v>3633000000</v>
      </c>
      <c r="K482" s="710">
        <f t="shared" si="241"/>
        <v>0</v>
      </c>
      <c r="L482" s="634"/>
      <c r="M482" s="634"/>
      <c r="R482" s="604"/>
      <c r="S482" s="604"/>
    </row>
    <row r="483" spans="1:19" s="603" customFormat="1" ht="18.75" hidden="1">
      <c r="A483" s="607"/>
      <c r="B483" s="709" t="s">
        <v>752</v>
      </c>
      <c r="C483" s="598"/>
      <c r="D483" s="598"/>
      <c r="E483" s="598"/>
      <c r="F483" s="598"/>
      <c r="G483" s="598"/>
      <c r="H483" s="599"/>
      <c r="I483" s="710">
        <f t="shared" ref="I483:K483" si="242">+I484</f>
        <v>2328451000</v>
      </c>
      <c r="J483" s="710">
        <f t="shared" si="242"/>
        <v>2328451000</v>
      </c>
      <c r="K483" s="710">
        <f t="shared" si="242"/>
        <v>0</v>
      </c>
      <c r="L483" s="634"/>
      <c r="M483" s="634"/>
      <c r="R483" s="604"/>
      <c r="S483" s="604"/>
    </row>
    <row r="484" spans="1:19" ht="18.75" hidden="1">
      <c r="A484" s="437"/>
      <c r="B484" s="635" t="s">
        <v>753</v>
      </c>
      <c r="C484" s="406"/>
      <c r="D484" s="406"/>
      <c r="E484" s="406"/>
      <c r="F484" s="406"/>
      <c r="G484" s="406"/>
      <c r="H484" s="552"/>
      <c r="I484" s="636">
        <v>2328451000</v>
      </c>
      <c r="J484" s="587">
        <v>2328451000</v>
      </c>
      <c r="K484" s="561"/>
      <c r="L484" s="519"/>
      <c r="M484" s="519"/>
    </row>
    <row r="485" spans="1:19" s="603" customFormat="1" ht="18.75" hidden="1">
      <c r="A485" s="607"/>
      <c r="B485" s="711" t="s">
        <v>754</v>
      </c>
      <c r="C485" s="598"/>
      <c r="D485" s="598"/>
      <c r="E485" s="598"/>
      <c r="F485" s="598"/>
      <c r="G485" s="598"/>
      <c r="H485" s="599"/>
      <c r="I485" s="710">
        <f t="shared" ref="I485:K485" si="243">+I486</f>
        <v>1304549000</v>
      </c>
      <c r="J485" s="710">
        <f t="shared" si="243"/>
        <v>1304549000</v>
      </c>
      <c r="K485" s="710">
        <f t="shared" si="243"/>
        <v>0</v>
      </c>
      <c r="L485" s="634"/>
      <c r="M485" s="634"/>
      <c r="R485" s="604"/>
      <c r="S485" s="604"/>
    </row>
    <row r="486" spans="1:19" ht="18.75" hidden="1">
      <c r="A486" s="437"/>
      <c r="B486" s="635" t="s">
        <v>753</v>
      </c>
      <c r="C486" s="406"/>
      <c r="D486" s="406"/>
      <c r="E486" s="406"/>
      <c r="F486" s="406"/>
      <c r="G486" s="406"/>
      <c r="H486" s="552"/>
      <c r="I486" s="636">
        <v>1304549000</v>
      </c>
      <c r="J486" s="587">
        <v>1304549000</v>
      </c>
      <c r="K486" s="561"/>
      <c r="L486" s="519"/>
      <c r="M486" s="519"/>
    </row>
    <row r="487" spans="1:19" s="603" customFormat="1" ht="18.75" hidden="1">
      <c r="A487" s="607">
        <v>3</v>
      </c>
      <c r="B487" s="597" t="s">
        <v>537</v>
      </c>
      <c r="C487" s="598"/>
      <c r="D487" s="598"/>
      <c r="E487" s="598"/>
      <c r="F487" s="598"/>
      <c r="G487" s="598"/>
      <c r="H487" s="599"/>
      <c r="I487" s="600">
        <f t="shared" ref="I487:K487" si="244">SUM(I488:I491)</f>
        <v>71400000</v>
      </c>
      <c r="J487" s="600">
        <f t="shared" si="244"/>
        <v>71400000</v>
      </c>
      <c r="K487" s="601">
        <f t="shared" si="244"/>
        <v>67200000</v>
      </c>
      <c r="L487" s="602">
        <f t="shared" si="210"/>
        <v>100</v>
      </c>
      <c r="M487" s="602">
        <f t="shared" si="211"/>
        <v>106.25</v>
      </c>
      <c r="R487" s="604"/>
      <c r="S487" s="604"/>
    </row>
    <row r="488" spans="1:19" ht="18.75" hidden="1">
      <c r="A488" s="437"/>
      <c r="B488" s="439" t="s">
        <v>553</v>
      </c>
      <c r="C488" s="406"/>
      <c r="D488" s="406"/>
      <c r="E488" s="406"/>
      <c r="F488" s="406"/>
      <c r="G488" s="406"/>
      <c r="H488" s="552"/>
      <c r="I488" s="494">
        <v>7000000</v>
      </c>
      <c r="J488" s="472">
        <v>7000000</v>
      </c>
      <c r="K488" s="561">
        <v>7000000</v>
      </c>
      <c r="L488" s="518">
        <f t="shared" si="210"/>
        <v>100</v>
      </c>
      <c r="M488" s="518">
        <f t="shared" si="211"/>
        <v>100</v>
      </c>
    </row>
    <row r="489" spans="1:19" ht="37.5" hidden="1">
      <c r="A489" s="437"/>
      <c r="B489" s="439" t="s">
        <v>554</v>
      </c>
      <c r="C489" s="406"/>
      <c r="D489" s="406"/>
      <c r="E489" s="406"/>
      <c r="F489" s="406"/>
      <c r="G489" s="406"/>
      <c r="H489" s="552"/>
      <c r="I489" s="488">
        <v>2800000</v>
      </c>
      <c r="J489" s="472">
        <v>2800000</v>
      </c>
      <c r="K489" s="561">
        <v>2800000</v>
      </c>
      <c r="L489" s="518">
        <f t="shared" si="210"/>
        <v>100</v>
      </c>
      <c r="M489" s="518">
        <f t="shared" si="211"/>
        <v>100</v>
      </c>
    </row>
    <row r="490" spans="1:19" ht="37.5" hidden="1">
      <c r="A490" s="437"/>
      <c r="B490" s="439" t="s">
        <v>552</v>
      </c>
      <c r="C490" s="406"/>
      <c r="D490" s="406"/>
      <c r="E490" s="406"/>
      <c r="F490" s="406"/>
      <c r="G490" s="406"/>
      <c r="H490" s="552"/>
      <c r="I490" s="488">
        <v>2100000</v>
      </c>
      <c r="J490" s="472">
        <v>2100000</v>
      </c>
      <c r="K490" s="561">
        <v>2100000</v>
      </c>
      <c r="L490" s="518">
        <f t="shared" si="210"/>
        <v>100</v>
      </c>
      <c r="M490" s="518">
        <f t="shared" si="211"/>
        <v>100</v>
      </c>
    </row>
    <row r="491" spans="1:19" ht="37.5" hidden="1">
      <c r="A491" s="437"/>
      <c r="B491" s="439" t="s">
        <v>555</v>
      </c>
      <c r="C491" s="406"/>
      <c r="D491" s="406"/>
      <c r="E491" s="406"/>
      <c r="F491" s="406"/>
      <c r="G491" s="406"/>
      <c r="H491" s="552"/>
      <c r="I491" s="476">
        <v>59500000</v>
      </c>
      <c r="J491" s="472">
        <v>59500000</v>
      </c>
      <c r="K491" s="561">
        <v>55300000</v>
      </c>
      <c r="L491" s="518">
        <f t="shared" si="210"/>
        <v>100</v>
      </c>
      <c r="M491" s="518">
        <f t="shared" si="211"/>
        <v>107.59493670886076</v>
      </c>
    </row>
    <row r="492" spans="1:19" ht="37.5">
      <c r="A492" s="426" t="s">
        <v>94</v>
      </c>
      <c r="B492" s="427" t="s">
        <v>342</v>
      </c>
      <c r="C492" s="406"/>
      <c r="D492" s="406"/>
      <c r="E492" s="406"/>
      <c r="F492" s="406"/>
      <c r="G492" s="406"/>
      <c r="H492" s="552"/>
      <c r="I492" s="482">
        <f>I493+I551</f>
        <v>11864583500</v>
      </c>
      <c r="J492" s="482">
        <f>J493+J551</f>
        <v>11601608396</v>
      </c>
      <c r="K492" s="557">
        <f>K493+K551</f>
        <v>14222785844</v>
      </c>
      <c r="L492" s="518">
        <f t="shared" si="210"/>
        <v>97.783528566342</v>
      </c>
      <c r="M492" s="518">
        <f t="shared" si="211"/>
        <v>81.57057642047134</v>
      </c>
    </row>
    <row r="493" spans="1:19" ht="18.75">
      <c r="A493" s="458" t="s">
        <v>527</v>
      </c>
      <c r="B493" s="459" t="s">
        <v>107</v>
      </c>
      <c r="C493" s="406"/>
      <c r="D493" s="406"/>
      <c r="E493" s="406"/>
      <c r="F493" s="406"/>
      <c r="G493" s="406"/>
      <c r="H493" s="552"/>
      <c r="I493" s="495">
        <f>I494+I517+I522+I527+I532+I537+I544</f>
        <v>1003583500</v>
      </c>
      <c r="J493" s="495">
        <f>J494+J517+J522+J527+J532+J537+J544</f>
        <v>740608396</v>
      </c>
      <c r="K493" s="569">
        <f>K494+K517+K522+K527+K532+K537+K544</f>
        <v>3223785844</v>
      </c>
      <c r="L493" s="518">
        <f t="shared" si="210"/>
        <v>73.796390235590763</v>
      </c>
      <c r="M493" s="518">
        <f t="shared" si="211"/>
        <v>22.973250452674922</v>
      </c>
    </row>
    <row r="494" spans="1:19" ht="18.75">
      <c r="A494" s="460" t="s">
        <v>3</v>
      </c>
      <c r="B494" s="461" t="s">
        <v>503</v>
      </c>
      <c r="C494" s="406"/>
      <c r="D494" s="406"/>
      <c r="E494" s="406"/>
      <c r="F494" s="406"/>
      <c r="G494" s="406"/>
      <c r="H494" s="552"/>
      <c r="I494" s="496">
        <f t="shared" ref="I494:K494" si="245">I501+I495</f>
        <v>948583500</v>
      </c>
      <c r="J494" s="496">
        <f t="shared" si="245"/>
        <v>696402299</v>
      </c>
      <c r="K494" s="570">
        <f t="shared" si="245"/>
        <v>352640034</v>
      </c>
      <c r="L494" s="518">
        <f t="shared" si="210"/>
        <v>73.414970743218703</v>
      </c>
      <c r="M494" s="518">
        <f t="shared" si="211"/>
        <v>197.4824840789347</v>
      </c>
    </row>
    <row r="495" spans="1:19" ht="18.75">
      <c r="A495" s="428">
        <v>1</v>
      </c>
      <c r="B495" s="421" t="s">
        <v>498</v>
      </c>
      <c r="C495" s="406"/>
      <c r="D495" s="406"/>
      <c r="E495" s="406"/>
      <c r="F495" s="406"/>
      <c r="G495" s="406"/>
      <c r="H495" s="552"/>
      <c r="I495" s="491">
        <f t="shared" ref="I495:K495" si="246">I496+I499</f>
        <v>28000000</v>
      </c>
      <c r="J495" s="491">
        <f t="shared" si="246"/>
        <v>28000000</v>
      </c>
      <c r="K495" s="565">
        <f t="shared" si="246"/>
        <v>30000000</v>
      </c>
      <c r="L495" s="518">
        <f t="shared" si="210"/>
        <v>100</v>
      </c>
      <c r="M495" s="519">
        <f t="shared" si="211"/>
        <v>93.333333333333329</v>
      </c>
    </row>
    <row r="496" spans="1:19" ht="58.5">
      <c r="A496" s="435" t="s">
        <v>8</v>
      </c>
      <c r="B496" s="445" t="s">
        <v>499</v>
      </c>
      <c r="C496" s="406"/>
      <c r="D496" s="406"/>
      <c r="E496" s="406"/>
      <c r="F496" s="406"/>
      <c r="G496" s="406"/>
      <c r="H496" s="552"/>
      <c r="I496" s="490">
        <f t="shared" ref="I496:K496" si="247">I497</f>
        <v>28000000</v>
      </c>
      <c r="J496" s="490">
        <f t="shared" si="247"/>
        <v>28000000</v>
      </c>
      <c r="K496" s="564">
        <f t="shared" si="247"/>
        <v>0</v>
      </c>
      <c r="L496" s="518">
        <f t="shared" si="210"/>
        <v>100</v>
      </c>
      <c r="M496" s="519" t="e">
        <f t="shared" si="211"/>
        <v>#DIV/0!</v>
      </c>
    </row>
    <row r="497" spans="1:13" ht="37.5">
      <c r="A497" s="428"/>
      <c r="B497" s="462" t="s">
        <v>528</v>
      </c>
      <c r="C497" s="406"/>
      <c r="D497" s="406"/>
      <c r="E497" s="406"/>
      <c r="F497" s="406"/>
      <c r="G497" s="406"/>
      <c r="H497" s="552"/>
      <c r="I497" s="488">
        <f t="shared" ref="I497:K497" si="248">+I498</f>
        <v>28000000</v>
      </c>
      <c r="J497" s="488">
        <f t="shared" si="248"/>
        <v>28000000</v>
      </c>
      <c r="K497" s="562">
        <f t="shared" si="248"/>
        <v>0</v>
      </c>
      <c r="L497" s="518">
        <f t="shared" si="210"/>
        <v>100</v>
      </c>
      <c r="M497" s="519" t="e">
        <f t="shared" si="211"/>
        <v>#DIV/0!</v>
      </c>
    </row>
    <row r="498" spans="1:13" ht="18.75">
      <c r="A498" s="428"/>
      <c r="B498" s="463" t="s">
        <v>174</v>
      </c>
      <c r="C498" s="406"/>
      <c r="D498" s="406"/>
      <c r="E498" s="406"/>
      <c r="F498" s="406"/>
      <c r="G498" s="406"/>
      <c r="H498" s="552"/>
      <c r="I498" s="488">
        <v>28000000</v>
      </c>
      <c r="J498" s="472">
        <v>28000000</v>
      </c>
      <c r="K498" s="561"/>
      <c r="L498" s="518">
        <f t="shared" ref="L498:L559" si="249">+J498/I498*100</f>
        <v>100</v>
      </c>
      <c r="M498" s="519" t="e">
        <f t="shared" ref="M498:M559" si="250">+J498/K498*100</f>
        <v>#DIV/0!</v>
      </c>
    </row>
    <row r="499" spans="1:13" ht="39">
      <c r="A499" s="428" t="s">
        <v>9</v>
      </c>
      <c r="B499" s="464" t="s">
        <v>729</v>
      </c>
      <c r="C499" s="406"/>
      <c r="D499" s="406"/>
      <c r="E499" s="406"/>
      <c r="F499" s="406"/>
      <c r="G499" s="406"/>
      <c r="H499" s="552"/>
      <c r="I499" s="470">
        <f t="shared" ref="I499:K499" si="251">+I500</f>
        <v>0</v>
      </c>
      <c r="J499" s="470">
        <f t="shared" si="251"/>
        <v>0</v>
      </c>
      <c r="K499" s="556">
        <f t="shared" si="251"/>
        <v>30000000</v>
      </c>
      <c r="L499" s="519" t="e">
        <f t="shared" si="249"/>
        <v>#DIV/0!</v>
      </c>
      <c r="M499" s="519">
        <f t="shared" si="250"/>
        <v>0</v>
      </c>
    </row>
    <row r="500" spans="1:13" ht="37.5">
      <c r="A500" s="437"/>
      <c r="B500" s="463" t="s">
        <v>730</v>
      </c>
      <c r="C500" s="406"/>
      <c r="D500" s="406"/>
      <c r="E500" s="406"/>
      <c r="F500" s="406"/>
      <c r="G500" s="406"/>
      <c r="H500" s="552"/>
      <c r="I500" s="488">
        <v>0</v>
      </c>
      <c r="J500" s="472">
        <v>0</v>
      </c>
      <c r="K500" s="561">
        <v>30000000</v>
      </c>
      <c r="L500" s="519" t="e">
        <f t="shared" si="249"/>
        <v>#DIV/0!</v>
      </c>
      <c r="M500" s="519">
        <f t="shared" si="250"/>
        <v>0</v>
      </c>
    </row>
    <row r="501" spans="1:13" ht="37.5">
      <c r="A501" s="428">
        <v>2</v>
      </c>
      <c r="B501" s="421" t="s">
        <v>106</v>
      </c>
      <c r="C501" s="406"/>
      <c r="D501" s="406"/>
      <c r="E501" s="406"/>
      <c r="F501" s="406"/>
      <c r="G501" s="406"/>
      <c r="H501" s="552"/>
      <c r="I501" s="491">
        <f>I502+I505+I508+I514</f>
        <v>920583500</v>
      </c>
      <c r="J501" s="491">
        <f t="shared" ref="J501:K501" si="252">J502+J505+J508+J514</f>
        <v>668402299</v>
      </c>
      <c r="K501" s="491">
        <f t="shared" si="252"/>
        <v>322640034</v>
      </c>
      <c r="L501" s="518">
        <f t="shared" si="249"/>
        <v>72.606374000837519</v>
      </c>
      <c r="M501" s="518">
        <f t="shared" si="250"/>
        <v>207.16657220535751</v>
      </c>
    </row>
    <row r="502" spans="1:13" ht="39">
      <c r="A502" s="435" t="s">
        <v>12</v>
      </c>
      <c r="B502" s="436" t="s">
        <v>469</v>
      </c>
      <c r="C502" s="406"/>
      <c r="D502" s="406"/>
      <c r="E502" s="406"/>
      <c r="F502" s="406"/>
      <c r="G502" s="406"/>
      <c r="H502" s="552"/>
      <c r="I502" s="490">
        <f t="shared" ref="I502:K502" si="253">I503</f>
        <v>504483500</v>
      </c>
      <c r="J502" s="490">
        <f t="shared" si="253"/>
        <v>255294357</v>
      </c>
      <c r="K502" s="564">
        <f t="shared" si="253"/>
        <v>27516500</v>
      </c>
      <c r="L502" s="518">
        <f t="shared" si="249"/>
        <v>50.605095508574614</v>
      </c>
      <c r="M502" s="518">
        <f t="shared" si="250"/>
        <v>927.7864444969382</v>
      </c>
    </row>
    <row r="503" spans="1:13" ht="150">
      <c r="A503" s="437" t="s">
        <v>14</v>
      </c>
      <c r="B503" s="438" t="s">
        <v>379</v>
      </c>
      <c r="C503" s="406"/>
      <c r="D503" s="406"/>
      <c r="E503" s="406"/>
      <c r="F503" s="406"/>
      <c r="G503" s="406"/>
      <c r="H503" s="552"/>
      <c r="I503" s="488">
        <f t="shared" ref="I503:K503" si="254">+I504</f>
        <v>504483500</v>
      </c>
      <c r="J503" s="488">
        <f t="shared" si="254"/>
        <v>255294357</v>
      </c>
      <c r="K503" s="562">
        <f t="shared" si="254"/>
        <v>27516500</v>
      </c>
      <c r="L503" s="518">
        <f t="shared" si="249"/>
        <v>50.605095508574614</v>
      </c>
      <c r="M503" s="518">
        <f t="shared" si="250"/>
        <v>927.7864444969382</v>
      </c>
    </row>
    <row r="504" spans="1:13" ht="18.75">
      <c r="A504" s="443"/>
      <c r="B504" s="448" t="s">
        <v>380</v>
      </c>
      <c r="C504" s="406"/>
      <c r="D504" s="406"/>
      <c r="E504" s="406"/>
      <c r="F504" s="406"/>
      <c r="G504" s="406"/>
      <c r="H504" s="552"/>
      <c r="I504" s="589">
        <f>154483500+350000000</f>
        <v>504483500</v>
      </c>
      <c r="J504" s="472">
        <v>255294357</v>
      </c>
      <c r="K504" s="561">
        <v>27516500</v>
      </c>
      <c r="L504" s="518">
        <f t="shared" si="249"/>
        <v>50.605095508574614</v>
      </c>
      <c r="M504" s="518">
        <f t="shared" si="250"/>
        <v>927.7864444969382</v>
      </c>
    </row>
    <row r="505" spans="1:13" ht="39">
      <c r="A505" s="435" t="s">
        <v>13</v>
      </c>
      <c r="B505" s="436" t="s">
        <v>468</v>
      </c>
      <c r="C505" s="406"/>
      <c r="D505" s="406"/>
      <c r="E505" s="406"/>
      <c r="F505" s="406"/>
      <c r="G505" s="406"/>
      <c r="H505" s="552"/>
      <c r="I505" s="490">
        <f t="shared" ref="I505:K505" si="255">I506</f>
        <v>25000000</v>
      </c>
      <c r="J505" s="490">
        <f t="shared" si="255"/>
        <v>24550000</v>
      </c>
      <c r="K505" s="564">
        <f t="shared" si="255"/>
        <v>0</v>
      </c>
      <c r="L505" s="519">
        <f t="shared" si="249"/>
        <v>98.2</v>
      </c>
      <c r="M505" s="519" t="e">
        <f t="shared" si="250"/>
        <v>#DIV/0!</v>
      </c>
    </row>
    <row r="506" spans="1:13" ht="56.25">
      <c r="A506" s="437"/>
      <c r="B506" s="438" t="s">
        <v>185</v>
      </c>
      <c r="C506" s="406"/>
      <c r="D506" s="406"/>
      <c r="E506" s="406"/>
      <c r="F506" s="406"/>
      <c r="G506" s="406"/>
      <c r="H506" s="552"/>
      <c r="I506" s="488">
        <f t="shared" ref="I506:K506" si="256">SUM(I507:I507)</f>
        <v>25000000</v>
      </c>
      <c r="J506" s="488">
        <f t="shared" si="256"/>
        <v>24550000</v>
      </c>
      <c r="K506" s="562">
        <f t="shared" si="256"/>
        <v>0</v>
      </c>
      <c r="L506" s="519">
        <f t="shared" si="249"/>
        <v>98.2</v>
      </c>
      <c r="M506" s="519" t="e">
        <f t="shared" si="250"/>
        <v>#DIV/0!</v>
      </c>
    </row>
    <row r="507" spans="1:13" ht="37.5">
      <c r="A507" s="435"/>
      <c r="B507" s="448" t="s">
        <v>381</v>
      </c>
      <c r="C507" s="406"/>
      <c r="D507" s="406"/>
      <c r="E507" s="406"/>
      <c r="F507" s="406"/>
      <c r="G507" s="406"/>
      <c r="H507" s="552"/>
      <c r="I507" s="474">
        <v>25000000</v>
      </c>
      <c r="J507" s="472">
        <v>24550000</v>
      </c>
      <c r="K507" s="561">
        <v>0</v>
      </c>
      <c r="L507" s="519">
        <f t="shared" si="249"/>
        <v>98.2</v>
      </c>
      <c r="M507" s="519" t="e">
        <f t="shared" si="250"/>
        <v>#DIV/0!</v>
      </c>
    </row>
    <row r="508" spans="1:13" ht="39">
      <c r="A508" s="435" t="s">
        <v>16</v>
      </c>
      <c r="B508" s="436" t="s">
        <v>467</v>
      </c>
      <c r="C508" s="406"/>
      <c r="D508" s="406"/>
      <c r="E508" s="406"/>
      <c r="F508" s="406"/>
      <c r="G508" s="406"/>
      <c r="H508" s="552"/>
      <c r="I508" s="490">
        <f t="shared" ref="I508:K508" si="257">I509</f>
        <v>374000000</v>
      </c>
      <c r="J508" s="490">
        <f t="shared" si="257"/>
        <v>388557942</v>
      </c>
      <c r="K508" s="564">
        <f t="shared" si="257"/>
        <v>295123534</v>
      </c>
      <c r="L508" s="518">
        <f t="shared" si="249"/>
        <v>103.89249786096258</v>
      </c>
      <c r="M508" s="518">
        <f t="shared" si="250"/>
        <v>131.65942299945485</v>
      </c>
    </row>
    <row r="509" spans="1:13" ht="56.25">
      <c r="A509" s="437"/>
      <c r="B509" s="438" t="s">
        <v>191</v>
      </c>
      <c r="C509" s="406"/>
      <c r="D509" s="406"/>
      <c r="E509" s="406"/>
      <c r="F509" s="406"/>
      <c r="G509" s="406"/>
      <c r="H509" s="552"/>
      <c r="I509" s="488">
        <f t="shared" ref="I509:K509" si="258">SUM(I510:I513)</f>
        <v>374000000</v>
      </c>
      <c r="J509" s="488">
        <f t="shared" si="258"/>
        <v>388557942</v>
      </c>
      <c r="K509" s="562">
        <f t="shared" si="258"/>
        <v>295123534</v>
      </c>
      <c r="L509" s="518">
        <f t="shared" si="249"/>
        <v>103.89249786096258</v>
      </c>
      <c r="M509" s="518">
        <f t="shared" si="250"/>
        <v>131.65942299945485</v>
      </c>
    </row>
    <row r="510" spans="1:13" ht="37.5">
      <c r="A510" s="435"/>
      <c r="B510" s="448" t="s">
        <v>388</v>
      </c>
      <c r="C510" s="406"/>
      <c r="D510" s="406"/>
      <c r="E510" s="406"/>
      <c r="F510" s="406"/>
      <c r="G510" s="406"/>
      <c r="H510" s="552"/>
      <c r="I510" s="474">
        <v>313000000</v>
      </c>
      <c r="J510" s="472">
        <f>329590640-J516</f>
        <v>329590640</v>
      </c>
      <c r="K510" s="561">
        <v>136735200</v>
      </c>
      <c r="L510" s="519">
        <f t="shared" si="249"/>
        <v>105.30052396166134</v>
      </c>
      <c r="M510" s="519">
        <f t="shared" si="250"/>
        <v>241.04300867662459</v>
      </c>
    </row>
    <row r="511" spans="1:13" ht="56.25">
      <c r="A511" s="435"/>
      <c r="B511" s="448" t="s">
        <v>389</v>
      </c>
      <c r="C511" s="406"/>
      <c r="D511" s="406"/>
      <c r="E511" s="406"/>
      <c r="F511" s="406"/>
      <c r="G511" s="406"/>
      <c r="H511" s="552"/>
      <c r="I511" s="474">
        <v>35000000</v>
      </c>
      <c r="J511" s="472">
        <v>32967302</v>
      </c>
      <c r="K511" s="561">
        <v>74560000</v>
      </c>
      <c r="L511" s="518">
        <f t="shared" si="249"/>
        <v>94.192291428571423</v>
      </c>
      <c r="M511" s="518">
        <f t="shared" si="250"/>
        <v>44.215802038626613</v>
      </c>
    </row>
    <row r="512" spans="1:13" ht="56.25">
      <c r="A512" s="435"/>
      <c r="B512" s="448" t="s">
        <v>731</v>
      </c>
      <c r="C512" s="406"/>
      <c r="D512" s="406"/>
      <c r="E512" s="406"/>
      <c r="F512" s="406"/>
      <c r="G512" s="406"/>
      <c r="H512" s="552"/>
      <c r="I512" s="474">
        <v>0</v>
      </c>
      <c r="J512" s="472">
        <v>0</v>
      </c>
      <c r="K512" s="561">
        <v>31828334</v>
      </c>
      <c r="L512" s="519" t="e">
        <f t="shared" si="249"/>
        <v>#DIV/0!</v>
      </c>
      <c r="M512" s="519">
        <f t="shared" si="250"/>
        <v>0</v>
      </c>
    </row>
    <row r="513" spans="1:13" ht="37.5">
      <c r="A513" s="435"/>
      <c r="B513" s="448" t="s">
        <v>390</v>
      </c>
      <c r="C513" s="406"/>
      <c r="D513" s="406"/>
      <c r="E513" s="406"/>
      <c r="F513" s="406"/>
      <c r="G513" s="406"/>
      <c r="H513" s="552"/>
      <c r="I513" s="474">
        <v>26000000</v>
      </c>
      <c r="J513" s="472">
        <v>26000000</v>
      </c>
      <c r="K513" s="561">
        <v>52000000</v>
      </c>
      <c r="L513" s="518">
        <f t="shared" si="249"/>
        <v>100</v>
      </c>
      <c r="M513" s="519">
        <f t="shared" si="250"/>
        <v>50</v>
      </c>
    </row>
    <row r="514" spans="1:13" ht="33">
      <c r="A514" s="435" t="s">
        <v>26</v>
      </c>
      <c r="B514" s="637" t="s">
        <v>755</v>
      </c>
      <c r="C514" s="406"/>
      <c r="D514" s="406"/>
      <c r="E514" s="406"/>
      <c r="F514" s="406"/>
      <c r="G514" s="406"/>
      <c r="H514" s="552"/>
      <c r="I514" s="639">
        <f t="shared" ref="I514:K515" si="259">+I515</f>
        <v>17100000</v>
      </c>
      <c r="J514" s="639">
        <f t="shared" si="259"/>
        <v>0</v>
      </c>
      <c r="K514" s="639">
        <f t="shared" si="259"/>
        <v>0</v>
      </c>
      <c r="L514" s="518"/>
      <c r="M514" s="519"/>
    </row>
    <row r="515" spans="1:13" ht="49.5">
      <c r="A515" s="435"/>
      <c r="B515" s="638" t="s">
        <v>191</v>
      </c>
      <c r="C515" s="406"/>
      <c r="D515" s="406"/>
      <c r="E515" s="406"/>
      <c r="F515" s="406"/>
      <c r="G515" s="406"/>
      <c r="H515" s="552"/>
      <c r="I515" s="640">
        <f t="shared" si="259"/>
        <v>17100000</v>
      </c>
      <c r="J515" s="640">
        <f t="shared" si="259"/>
        <v>0</v>
      </c>
      <c r="K515" s="640">
        <f t="shared" si="259"/>
        <v>0</v>
      </c>
      <c r="L515" s="518"/>
      <c r="M515" s="519"/>
    </row>
    <row r="516" spans="1:13" ht="33">
      <c r="A516" s="435"/>
      <c r="B516" s="638" t="s">
        <v>756</v>
      </c>
      <c r="C516" s="406"/>
      <c r="D516" s="406"/>
      <c r="E516" s="406"/>
      <c r="F516" s="406"/>
      <c r="G516" s="406"/>
      <c r="H516" s="552"/>
      <c r="I516" s="641">
        <v>17100000</v>
      </c>
      <c r="J516" s="472"/>
      <c r="K516" s="561"/>
      <c r="L516" s="518"/>
      <c r="M516" s="519"/>
    </row>
    <row r="517" spans="1:13" ht="18.75">
      <c r="A517" s="460" t="s">
        <v>5</v>
      </c>
      <c r="B517" s="461" t="s">
        <v>303</v>
      </c>
      <c r="C517" s="406"/>
      <c r="D517" s="406"/>
      <c r="E517" s="406"/>
      <c r="F517" s="406"/>
      <c r="G517" s="406"/>
      <c r="H517" s="552"/>
      <c r="I517" s="496">
        <f t="shared" ref="I517:K518" si="260">I518</f>
        <v>5000000</v>
      </c>
      <c r="J517" s="496">
        <f t="shared" si="260"/>
        <v>5000000</v>
      </c>
      <c r="K517" s="570">
        <f t="shared" si="260"/>
        <v>20000000</v>
      </c>
      <c r="L517" s="518">
        <f t="shared" si="249"/>
        <v>100</v>
      </c>
      <c r="M517" s="518">
        <f t="shared" si="250"/>
        <v>25</v>
      </c>
    </row>
    <row r="518" spans="1:13" ht="37.5">
      <c r="A518" s="428" t="s">
        <v>11</v>
      </c>
      <c r="B518" s="421" t="s">
        <v>106</v>
      </c>
      <c r="C518" s="406"/>
      <c r="D518" s="406"/>
      <c r="E518" s="406"/>
      <c r="F518" s="406"/>
      <c r="G518" s="406"/>
      <c r="H518" s="552"/>
      <c r="I518" s="486">
        <f t="shared" si="260"/>
        <v>5000000</v>
      </c>
      <c r="J518" s="486">
        <f t="shared" si="260"/>
        <v>5000000</v>
      </c>
      <c r="K518" s="559">
        <f t="shared" si="260"/>
        <v>20000000</v>
      </c>
      <c r="L518" s="518">
        <f t="shared" si="249"/>
        <v>100</v>
      </c>
      <c r="M518" s="518">
        <f t="shared" si="250"/>
        <v>25</v>
      </c>
    </row>
    <row r="519" spans="1:13" ht="39">
      <c r="A519" s="435"/>
      <c r="B519" s="436" t="s">
        <v>466</v>
      </c>
      <c r="C519" s="406"/>
      <c r="D519" s="406"/>
      <c r="E519" s="406"/>
      <c r="F519" s="406"/>
      <c r="G519" s="406"/>
      <c r="H519" s="552"/>
      <c r="I519" s="485">
        <f t="shared" ref="I519:K519" si="261">I521</f>
        <v>5000000</v>
      </c>
      <c r="J519" s="485">
        <f t="shared" si="261"/>
        <v>5000000</v>
      </c>
      <c r="K519" s="558">
        <f t="shared" si="261"/>
        <v>20000000</v>
      </c>
      <c r="L519" s="518">
        <f t="shared" si="249"/>
        <v>100</v>
      </c>
      <c r="M519" s="518">
        <f t="shared" si="250"/>
        <v>25</v>
      </c>
    </row>
    <row r="520" spans="1:13" ht="78">
      <c r="A520" s="435"/>
      <c r="B520" s="436" t="s">
        <v>191</v>
      </c>
      <c r="C520" s="406"/>
      <c r="D520" s="406"/>
      <c r="E520" s="406"/>
      <c r="F520" s="406"/>
      <c r="G520" s="406"/>
      <c r="H520" s="552"/>
      <c r="I520" s="485">
        <f t="shared" ref="I520:K520" si="262">+I521</f>
        <v>5000000</v>
      </c>
      <c r="J520" s="485">
        <f t="shared" si="262"/>
        <v>5000000</v>
      </c>
      <c r="K520" s="558">
        <f t="shared" si="262"/>
        <v>20000000</v>
      </c>
      <c r="L520" s="518">
        <f t="shared" si="249"/>
        <v>100</v>
      </c>
      <c r="M520" s="518">
        <f t="shared" si="250"/>
        <v>25</v>
      </c>
    </row>
    <row r="521" spans="1:13" ht="56.25">
      <c r="A521" s="428"/>
      <c r="B521" s="449" t="s">
        <v>232</v>
      </c>
      <c r="C521" s="406"/>
      <c r="D521" s="406"/>
      <c r="E521" s="406"/>
      <c r="F521" s="406"/>
      <c r="G521" s="406"/>
      <c r="H521" s="552"/>
      <c r="I521" s="474">
        <v>5000000</v>
      </c>
      <c r="J521" s="472">
        <v>5000000</v>
      </c>
      <c r="K521" s="561">
        <v>20000000</v>
      </c>
      <c r="L521" s="518">
        <f t="shared" si="249"/>
        <v>100</v>
      </c>
      <c r="M521" s="518">
        <f t="shared" si="250"/>
        <v>25</v>
      </c>
    </row>
    <row r="522" spans="1:13" ht="18.75">
      <c r="A522" s="460" t="s">
        <v>90</v>
      </c>
      <c r="B522" s="461" t="s">
        <v>304</v>
      </c>
      <c r="C522" s="406"/>
      <c r="D522" s="406"/>
      <c r="E522" s="406"/>
      <c r="F522" s="406"/>
      <c r="G522" s="406"/>
      <c r="H522" s="552"/>
      <c r="I522" s="496">
        <f t="shared" ref="I522:K522" si="263">I523</f>
        <v>10000000</v>
      </c>
      <c r="J522" s="496">
        <f t="shared" si="263"/>
        <v>10000000</v>
      </c>
      <c r="K522" s="570">
        <f t="shared" si="263"/>
        <v>30700000</v>
      </c>
      <c r="L522" s="519">
        <f t="shared" si="249"/>
        <v>100</v>
      </c>
      <c r="M522" s="519">
        <f t="shared" si="250"/>
        <v>32.573289902280131</v>
      </c>
    </row>
    <row r="523" spans="1:13" ht="37.5">
      <c r="A523" s="428" t="s">
        <v>11</v>
      </c>
      <c r="B523" s="421" t="s">
        <v>106</v>
      </c>
      <c r="C523" s="406"/>
      <c r="D523" s="406"/>
      <c r="E523" s="406"/>
      <c r="F523" s="406"/>
      <c r="G523" s="406"/>
      <c r="H523" s="552"/>
      <c r="I523" s="470">
        <f t="shared" ref="I523:K523" si="264">I526</f>
        <v>10000000</v>
      </c>
      <c r="J523" s="470">
        <f t="shared" si="264"/>
        <v>10000000</v>
      </c>
      <c r="K523" s="556">
        <f t="shared" si="264"/>
        <v>30700000</v>
      </c>
      <c r="L523" s="519">
        <f t="shared" si="249"/>
        <v>100</v>
      </c>
      <c r="M523" s="519">
        <f t="shared" si="250"/>
        <v>32.573289902280131</v>
      </c>
    </row>
    <row r="524" spans="1:13" ht="39">
      <c r="A524" s="435"/>
      <c r="B524" s="436" t="s">
        <v>466</v>
      </c>
      <c r="C524" s="406"/>
      <c r="D524" s="406"/>
      <c r="E524" s="406"/>
      <c r="F524" s="406"/>
      <c r="G524" s="406"/>
      <c r="H524" s="552"/>
      <c r="I524" s="471">
        <f t="shared" ref="I524:K524" si="265">I526</f>
        <v>10000000</v>
      </c>
      <c r="J524" s="471">
        <f t="shared" si="265"/>
        <v>10000000</v>
      </c>
      <c r="K524" s="563">
        <f t="shared" si="265"/>
        <v>30700000</v>
      </c>
      <c r="L524" s="519">
        <f t="shared" si="249"/>
        <v>100</v>
      </c>
      <c r="M524" s="519">
        <f t="shared" si="250"/>
        <v>32.573289902280131</v>
      </c>
    </row>
    <row r="525" spans="1:13" ht="78">
      <c r="A525" s="435"/>
      <c r="B525" s="436" t="s">
        <v>191</v>
      </c>
      <c r="C525" s="406"/>
      <c r="D525" s="406"/>
      <c r="E525" s="406"/>
      <c r="F525" s="406"/>
      <c r="G525" s="406"/>
      <c r="H525" s="552"/>
      <c r="I525" s="471">
        <f t="shared" ref="I525:K525" si="266">+I526</f>
        <v>10000000</v>
      </c>
      <c r="J525" s="471">
        <f t="shared" si="266"/>
        <v>10000000</v>
      </c>
      <c r="K525" s="563">
        <f t="shared" si="266"/>
        <v>30700000</v>
      </c>
      <c r="L525" s="519">
        <f t="shared" si="249"/>
        <v>100</v>
      </c>
      <c r="M525" s="519">
        <f t="shared" si="250"/>
        <v>32.573289902280131</v>
      </c>
    </row>
    <row r="526" spans="1:13" ht="56.25">
      <c r="A526" s="437"/>
      <c r="B526" s="449" t="s">
        <v>232</v>
      </c>
      <c r="C526" s="406"/>
      <c r="D526" s="406"/>
      <c r="E526" s="406"/>
      <c r="F526" s="406"/>
      <c r="G526" s="406"/>
      <c r="H526" s="552"/>
      <c r="I526" s="474">
        <v>10000000</v>
      </c>
      <c r="J526" s="472">
        <v>10000000</v>
      </c>
      <c r="K526" s="561">
        <v>30700000</v>
      </c>
      <c r="L526" s="519">
        <f t="shared" si="249"/>
        <v>100</v>
      </c>
      <c r="M526" s="519">
        <f t="shared" si="250"/>
        <v>32.573289902280131</v>
      </c>
    </row>
    <row r="527" spans="1:13" ht="18.75">
      <c r="A527" s="460" t="s">
        <v>101</v>
      </c>
      <c r="B527" s="461" t="s">
        <v>305</v>
      </c>
      <c r="C527" s="406"/>
      <c r="D527" s="406"/>
      <c r="E527" s="406"/>
      <c r="F527" s="406"/>
      <c r="G527" s="406"/>
      <c r="H527" s="552"/>
      <c r="I527" s="496">
        <f t="shared" ref="I527:K527" si="267">I528</f>
        <v>10000000</v>
      </c>
      <c r="J527" s="496">
        <f t="shared" si="267"/>
        <v>7254515</v>
      </c>
      <c r="K527" s="570">
        <f t="shared" si="267"/>
        <v>12037770</v>
      </c>
      <c r="L527" s="519">
        <f t="shared" si="249"/>
        <v>72.545150000000007</v>
      </c>
      <c r="M527" s="519">
        <f t="shared" si="250"/>
        <v>60.264608810435817</v>
      </c>
    </row>
    <row r="528" spans="1:13" ht="37.5">
      <c r="A528" s="428" t="s">
        <v>11</v>
      </c>
      <c r="B528" s="421" t="s">
        <v>106</v>
      </c>
      <c r="C528" s="406"/>
      <c r="D528" s="406"/>
      <c r="E528" s="406"/>
      <c r="F528" s="406"/>
      <c r="G528" s="406"/>
      <c r="H528" s="552"/>
      <c r="I528" s="470">
        <f t="shared" ref="I528:K528" si="268">I531</f>
        <v>10000000</v>
      </c>
      <c r="J528" s="470">
        <f t="shared" si="268"/>
        <v>7254515</v>
      </c>
      <c r="K528" s="556">
        <f t="shared" si="268"/>
        <v>12037770</v>
      </c>
      <c r="L528" s="519">
        <f t="shared" si="249"/>
        <v>72.545150000000007</v>
      </c>
      <c r="M528" s="519">
        <f t="shared" si="250"/>
        <v>60.264608810435817</v>
      </c>
    </row>
    <row r="529" spans="1:13" ht="39">
      <c r="A529" s="435"/>
      <c r="B529" s="436" t="s">
        <v>466</v>
      </c>
      <c r="C529" s="406"/>
      <c r="D529" s="406"/>
      <c r="E529" s="406"/>
      <c r="F529" s="406"/>
      <c r="G529" s="406"/>
      <c r="H529" s="552"/>
      <c r="I529" s="471">
        <f t="shared" ref="I529:K529" si="269">I531</f>
        <v>10000000</v>
      </c>
      <c r="J529" s="471">
        <f t="shared" si="269"/>
        <v>7254515</v>
      </c>
      <c r="K529" s="563">
        <f t="shared" si="269"/>
        <v>12037770</v>
      </c>
      <c r="L529" s="519">
        <f t="shared" si="249"/>
        <v>72.545150000000007</v>
      </c>
      <c r="M529" s="519">
        <f t="shared" si="250"/>
        <v>60.264608810435817</v>
      </c>
    </row>
    <row r="530" spans="1:13" ht="78">
      <c r="A530" s="435"/>
      <c r="B530" s="436" t="s">
        <v>191</v>
      </c>
      <c r="C530" s="406"/>
      <c r="D530" s="406"/>
      <c r="E530" s="406"/>
      <c r="F530" s="406"/>
      <c r="G530" s="406"/>
      <c r="H530" s="552"/>
      <c r="I530" s="471">
        <f t="shared" ref="I530:K530" si="270">+I531</f>
        <v>10000000</v>
      </c>
      <c r="J530" s="471">
        <f t="shared" si="270"/>
        <v>7254515</v>
      </c>
      <c r="K530" s="563">
        <f t="shared" si="270"/>
        <v>12037770</v>
      </c>
      <c r="L530" s="519">
        <f t="shared" si="249"/>
        <v>72.545150000000007</v>
      </c>
      <c r="M530" s="519">
        <f t="shared" si="250"/>
        <v>60.264608810435817</v>
      </c>
    </row>
    <row r="531" spans="1:13" ht="56.25">
      <c r="A531" s="428"/>
      <c r="B531" s="449" t="s">
        <v>232</v>
      </c>
      <c r="C531" s="406"/>
      <c r="D531" s="406"/>
      <c r="E531" s="406"/>
      <c r="F531" s="406"/>
      <c r="G531" s="406"/>
      <c r="H531" s="552"/>
      <c r="I531" s="474">
        <v>10000000</v>
      </c>
      <c r="J531" s="472">
        <v>7254515</v>
      </c>
      <c r="K531" s="561">
        <v>12037770</v>
      </c>
      <c r="L531" s="519">
        <f t="shared" si="249"/>
        <v>72.545150000000007</v>
      </c>
      <c r="M531" s="519">
        <f t="shared" si="250"/>
        <v>60.264608810435817</v>
      </c>
    </row>
    <row r="532" spans="1:13" ht="18.75">
      <c r="A532" s="460" t="s">
        <v>102</v>
      </c>
      <c r="B532" s="461" t="s">
        <v>306</v>
      </c>
      <c r="C532" s="406"/>
      <c r="D532" s="406"/>
      <c r="E532" s="406"/>
      <c r="F532" s="406"/>
      <c r="G532" s="406"/>
      <c r="H532" s="552"/>
      <c r="I532" s="496">
        <f t="shared" ref="I532:K533" si="271">I533</f>
        <v>10000000</v>
      </c>
      <c r="J532" s="496">
        <f t="shared" si="271"/>
        <v>5811552</v>
      </c>
      <c r="K532" s="570">
        <f t="shared" si="271"/>
        <v>12400000</v>
      </c>
      <c r="L532" s="518">
        <f t="shared" si="249"/>
        <v>58.115519999999997</v>
      </c>
      <c r="M532" s="519">
        <f t="shared" si="250"/>
        <v>46.86735483870968</v>
      </c>
    </row>
    <row r="533" spans="1:13" ht="37.5">
      <c r="A533" s="428" t="s">
        <v>11</v>
      </c>
      <c r="B533" s="421" t="s">
        <v>106</v>
      </c>
      <c r="C533" s="406"/>
      <c r="D533" s="406"/>
      <c r="E533" s="406"/>
      <c r="F533" s="406"/>
      <c r="G533" s="406"/>
      <c r="H533" s="552"/>
      <c r="I533" s="470">
        <f t="shared" si="271"/>
        <v>10000000</v>
      </c>
      <c r="J533" s="470">
        <f t="shared" si="271"/>
        <v>5811552</v>
      </c>
      <c r="K533" s="556">
        <f t="shared" si="271"/>
        <v>12400000</v>
      </c>
      <c r="L533" s="518">
        <f t="shared" si="249"/>
        <v>58.115519999999997</v>
      </c>
      <c r="M533" s="519">
        <f t="shared" si="250"/>
        <v>46.86735483870968</v>
      </c>
    </row>
    <row r="534" spans="1:13" ht="39">
      <c r="A534" s="435"/>
      <c r="B534" s="436" t="s">
        <v>466</v>
      </c>
      <c r="C534" s="406"/>
      <c r="D534" s="406"/>
      <c r="E534" s="406"/>
      <c r="F534" s="406"/>
      <c r="G534" s="406"/>
      <c r="H534" s="552"/>
      <c r="I534" s="471">
        <f t="shared" ref="I534:K534" si="272">I536</f>
        <v>10000000</v>
      </c>
      <c r="J534" s="471">
        <f t="shared" si="272"/>
        <v>5811552</v>
      </c>
      <c r="K534" s="563">
        <f t="shared" si="272"/>
        <v>12400000</v>
      </c>
      <c r="L534" s="518">
        <f t="shared" si="249"/>
        <v>58.115519999999997</v>
      </c>
      <c r="M534" s="519">
        <f t="shared" si="250"/>
        <v>46.86735483870968</v>
      </c>
    </row>
    <row r="535" spans="1:13" ht="78">
      <c r="A535" s="435"/>
      <c r="B535" s="436" t="s">
        <v>191</v>
      </c>
      <c r="C535" s="406"/>
      <c r="D535" s="406"/>
      <c r="E535" s="406"/>
      <c r="F535" s="406"/>
      <c r="G535" s="406"/>
      <c r="H535" s="552"/>
      <c r="I535" s="471">
        <f t="shared" ref="I535:K535" si="273">+I536</f>
        <v>10000000</v>
      </c>
      <c r="J535" s="471">
        <f t="shared" si="273"/>
        <v>5811552</v>
      </c>
      <c r="K535" s="563">
        <f t="shared" si="273"/>
        <v>12400000</v>
      </c>
      <c r="L535" s="518">
        <f t="shared" si="249"/>
        <v>58.115519999999997</v>
      </c>
      <c r="M535" s="519">
        <f t="shared" si="250"/>
        <v>46.86735483870968</v>
      </c>
    </row>
    <row r="536" spans="1:13" ht="56.25">
      <c r="A536" s="437"/>
      <c r="B536" s="449" t="s">
        <v>232</v>
      </c>
      <c r="C536" s="406"/>
      <c r="D536" s="406"/>
      <c r="E536" s="406"/>
      <c r="F536" s="406"/>
      <c r="G536" s="406"/>
      <c r="H536" s="552"/>
      <c r="I536" s="474">
        <v>10000000</v>
      </c>
      <c r="J536" s="719">
        <v>5811552</v>
      </c>
      <c r="K536" s="561">
        <v>12400000</v>
      </c>
      <c r="L536" s="518">
        <f t="shared" si="249"/>
        <v>58.115519999999997</v>
      </c>
      <c r="M536" s="519">
        <f t="shared" si="250"/>
        <v>46.86735483870968</v>
      </c>
    </row>
    <row r="537" spans="1:13" ht="18.75">
      <c r="A537" s="433" t="s">
        <v>103</v>
      </c>
      <c r="B537" s="434" t="s">
        <v>307</v>
      </c>
      <c r="C537" s="406"/>
      <c r="D537" s="406"/>
      <c r="E537" s="406"/>
      <c r="F537" s="406"/>
      <c r="G537" s="406"/>
      <c r="H537" s="552"/>
      <c r="I537" s="497">
        <f t="shared" ref="I537:K537" si="274">I538</f>
        <v>10000000</v>
      </c>
      <c r="J537" s="497">
        <f t="shared" si="274"/>
        <v>9940000</v>
      </c>
      <c r="K537" s="571">
        <f t="shared" si="274"/>
        <v>15000000</v>
      </c>
      <c r="L537" s="519">
        <f t="shared" si="249"/>
        <v>99.4</v>
      </c>
      <c r="M537" s="519">
        <f t="shared" si="250"/>
        <v>66.266666666666666</v>
      </c>
    </row>
    <row r="538" spans="1:13" ht="37.5">
      <c r="A538" s="428" t="s">
        <v>11</v>
      </c>
      <c r="B538" s="421" t="s">
        <v>106</v>
      </c>
      <c r="C538" s="406"/>
      <c r="D538" s="406"/>
      <c r="E538" s="406"/>
      <c r="F538" s="406"/>
      <c r="G538" s="406"/>
      <c r="H538" s="552"/>
      <c r="I538" s="470">
        <f t="shared" ref="I538:K538" si="275">+I539+I542</f>
        <v>10000000</v>
      </c>
      <c r="J538" s="470">
        <f t="shared" si="275"/>
        <v>9940000</v>
      </c>
      <c r="K538" s="556">
        <f t="shared" si="275"/>
        <v>15000000</v>
      </c>
      <c r="L538" s="519">
        <f t="shared" si="249"/>
        <v>99.4</v>
      </c>
      <c r="M538" s="519">
        <f t="shared" si="250"/>
        <v>66.266666666666666</v>
      </c>
    </row>
    <row r="539" spans="1:13" ht="39">
      <c r="A539" s="465" t="s">
        <v>663</v>
      </c>
      <c r="B539" s="436" t="s">
        <v>466</v>
      </c>
      <c r="C539" s="406"/>
      <c r="D539" s="406"/>
      <c r="E539" s="406"/>
      <c r="F539" s="406"/>
      <c r="G539" s="406"/>
      <c r="H539" s="552"/>
      <c r="I539" s="471">
        <f t="shared" ref="I539:K539" si="276">I541</f>
        <v>10000000</v>
      </c>
      <c r="J539" s="471">
        <f t="shared" si="276"/>
        <v>9940000</v>
      </c>
      <c r="K539" s="563">
        <f t="shared" si="276"/>
        <v>15000000</v>
      </c>
      <c r="L539" s="519">
        <f t="shared" si="249"/>
        <v>99.4</v>
      </c>
      <c r="M539" s="519">
        <f t="shared" si="250"/>
        <v>66.266666666666666</v>
      </c>
    </row>
    <row r="540" spans="1:13" ht="78">
      <c r="A540" s="435"/>
      <c r="B540" s="436" t="s">
        <v>191</v>
      </c>
      <c r="C540" s="406"/>
      <c r="D540" s="406"/>
      <c r="E540" s="406"/>
      <c r="F540" s="406"/>
      <c r="G540" s="406"/>
      <c r="H540" s="552"/>
      <c r="I540" s="471">
        <f t="shared" ref="I540:K540" si="277">+I541</f>
        <v>10000000</v>
      </c>
      <c r="J540" s="471">
        <f t="shared" si="277"/>
        <v>9940000</v>
      </c>
      <c r="K540" s="563">
        <f t="shared" si="277"/>
        <v>15000000</v>
      </c>
      <c r="L540" s="519">
        <f t="shared" si="249"/>
        <v>99.4</v>
      </c>
      <c r="M540" s="519">
        <f t="shared" si="250"/>
        <v>66.266666666666666</v>
      </c>
    </row>
    <row r="541" spans="1:13" ht="56.25">
      <c r="A541" s="437"/>
      <c r="B541" s="449" t="s">
        <v>232</v>
      </c>
      <c r="C541" s="406"/>
      <c r="D541" s="406"/>
      <c r="E541" s="406"/>
      <c r="F541" s="406"/>
      <c r="G541" s="406"/>
      <c r="H541" s="552"/>
      <c r="I541" s="474">
        <v>10000000</v>
      </c>
      <c r="J541" s="472">
        <v>9940000</v>
      </c>
      <c r="K541" s="561">
        <v>15000000</v>
      </c>
      <c r="L541" s="519">
        <f t="shared" si="249"/>
        <v>99.4</v>
      </c>
      <c r="M541" s="519">
        <f t="shared" si="250"/>
        <v>66.266666666666666</v>
      </c>
    </row>
    <row r="542" spans="1:13" ht="39">
      <c r="A542" s="465" t="s">
        <v>663</v>
      </c>
      <c r="B542" s="436" t="s">
        <v>732</v>
      </c>
      <c r="C542" s="406"/>
      <c r="D542" s="406"/>
      <c r="E542" s="406"/>
      <c r="F542" s="406"/>
      <c r="G542" s="406"/>
      <c r="H542" s="552"/>
      <c r="I542" s="471">
        <f t="shared" ref="I542:K542" si="278">+I543</f>
        <v>0</v>
      </c>
      <c r="J542" s="471">
        <f t="shared" si="278"/>
        <v>0</v>
      </c>
      <c r="K542" s="563">
        <f t="shared" si="278"/>
        <v>0</v>
      </c>
      <c r="L542" s="519" t="e">
        <f t="shared" si="249"/>
        <v>#DIV/0!</v>
      </c>
      <c r="M542" s="519" t="e">
        <f t="shared" si="250"/>
        <v>#DIV/0!</v>
      </c>
    </row>
    <row r="543" spans="1:13" ht="37.5">
      <c r="A543" s="428"/>
      <c r="B543" s="438" t="s">
        <v>733</v>
      </c>
      <c r="C543" s="406"/>
      <c r="D543" s="406"/>
      <c r="E543" s="406"/>
      <c r="F543" s="406"/>
      <c r="G543" s="406"/>
      <c r="H543" s="552"/>
      <c r="I543" s="474">
        <v>0</v>
      </c>
      <c r="J543" s="472"/>
      <c r="K543" s="561"/>
      <c r="L543" s="519" t="e">
        <f t="shared" si="249"/>
        <v>#DIV/0!</v>
      </c>
      <c r="M543" s="519" t="e">
        <f t="shared" si="250"/>
        <v>#DIV/0!</v>
      </c>
    </row>
    <row r="544" spans="1:13" ht="37.5">
      <c r="A544" s="460" t="s">
        <v>104</v>
      </c>
      <c r="B544" s="461" t="s">
        <v>308</v>
      </c>
      <c r="C544" s="406"/>
      <c r="D544" s="406"/>
      <c r="E544" s="406"/>
      <c r="F544" s="406"/>
      <c r="G544" s="406"/>
      <c r="H544" s="552"/>
      <c r="I544" s="496">
        <f t="shared" ref="I544:K544" si="279">I545</f>
        <v>10000000</v>
      </c>
      <c r="J544" s="496">
        <f t="shared" si="279"/>
        <v>6200030</v>
      </c>
      <c r="K544" s="570">
        <f t="shared" si="279"/>
        <v>2781008040</v>
      </c>
      <c r="L544" s="519">
        <f t="shared" si="249"/>
        <v>62.000299999999996</v>
      </c>
      <c r="M544" s="519">
        <f t="shared" si="250"/>
        <v>0.22294182220343384</v>
      </c>
    </row>
    <row r="545" spans="1:13" ht="37.5">
      <c r="A545" s="428" t="s">
        <v>11</v>
      </c>
      <c r="B545" s="421" t="s">
        <v>106</v>
      </c>
      <c r="C545" s="406"/>
      <c r="D545" s="406"/>
      <c r="E545" s="406"/>
      <c r="F545" s="406"/>
      <c r="G545" s="406"/>
      <c r="H545" s="552"/>
      <c r="I545" s="491">
        <f t="shared" ref="I545:K546" si="280">+I546</f>
        <v>10000000</v>
      </c>
      <c r="J545" s="491">
        <f t="shared" si="280"/>
        <v>6200030</v>
      </c>
      <c r="K545" s="565">
        <f t="shared" si="280"/>
        <v>2781008040</v>
      </c>
      <c r="L545" s="519">
        <f t="shared" si="249"/>
        <v>62.000299999999996</v>
      </c>
      <c r="M545" s="519">
        <f t="shared" si="250"/>
        <v>0.22294182220343384</v>
      </c>
    </row>
    <row r="546" spans="1:13" ht="39">
      <c r="A546" s="435"/>
      <c r="B546" s="436" t="s">
        <v>466</v>
      </c>
      <c r="C546" s="406"/>
      <c r="D546" s="406"/>
      <c r="E546" s="406"/>
      <c r="F546" s="406"/>
      <c r="G546" s="406"/>
      <c r="H546" s="552"/>
      <c r="I546" s="471">
        <f t="shared" si="280"/>
        <v>10000000</v>
      </c>
      <c r="J546" s="471">
        <f t="shared" si="280"/>
        <v>6200030</v>
      </c>
      <c r="K546" s="563">
        <f t="shared" si="280"/>
        <v>2781008040</v>
      </c>
      <c r="L546" s="519">
        <f t="shared" si="249"/>
        <v>62.000299999999996</v>
      </c>
      <c r="M546" s="519">
        <f t="shared" si="250"/>
        <v>0.22294182220343384</v>
      </c>
    </row>
    <row r="547" spans="1:13" ht="78">
      <c r="A547" s="435"/>
      <c r="B547" s="436" t="s">
        <v>191</v>
      </c>
      <c r="C547" s="406"/>
      <c r="D547" s="406"/>
      <c r="E547" s="406"/>
      <c r="F547" s="406"/>
      <c r="G547" s="406"/>
      <c r="H547" s="552"/>
      <c r="I547" s="471">
        <f t="shared" ref="I547:K547" si="281">+I549+I548+I550</f>
        <v>10000000</v>
      </c>
      <c r="J547" s="471">
        <f t="shared" si="281"/>
        <v>6200030</v>
      </c>
      <c r="K547" s="563">
        <f t="shared" si="281"/>
        <v>2781008040</v>
      </c>
      <c r="L547" s="519">
        <f t="shared" si="249"/>
        <v>62.000299999999996</v>
      </c>
      <c r="M547" s="519">
        <f t="shared" si="250"/>
        <v>0.22294182220343384</v>
      </c>
    </row>
    <row r="548" spans="1:13" ht="56.25">
      <c r="A548" s="437"/>
      <c r="B548" s="449" t="s">
        <v>232</v>
      </c>
      <c r="C548" s="406"/>
      <c r="D548" s="406"/>
      <c r="E548" s="406"/>
      <c r="F548" s="406"/>
      <c r="G548" s="406"/>
      <c r="H548" s="552"/>
      <c r="I548" s="474">
        <v>10000000</v>
      </c>
      <c r="J548" s="472">
        <v>6200030</v>
      </c>
      <c r="K548" s="561">
        <v>2692040</v>
      </c>
      <c r="L548" s="519">
        <f t="shared" si="249"/>
        <v>62.000299999999996</v>
      </c>
      <c r="M548" s="519">
        <f t="shared" si="250"/>
        <v>230.30972793866363</v>
      </c>
    </row>
    <row r="549" spans="1:13" ht="37.5">
      <c r="A549" s="437"/>
      <c r="B549" s="449" t="s">
        <v>734</v>
      </c>
      <c r="C549" s="406"/>
      <c r="D549" s="406"/>
      <c r="E549" s="406"/>
      <c r="F549" s="406"/>
      <c r="G549" s="406"/>
      <c r="H549" s="552"/>
      <c r="I549" s="474">
        <v>0</v>
      </c>
      <c r="J549" s="472"/>
      <c r="K549" s="561">
        <v>2778316000</v>
      </c>
      <c r="L549" s="519" t="e">
        <f t="shared" si="249"/>
        <v>#DIV/0!</v>
      </c>
      <c r="M549" s="519">
        <f t="shared" si="250"/>
        <v>0</v>
      </c>
    </row>
    <row r="550" spans="1:13" ht="37.5">
      <c r="A550" s="437"/>
      <c r="B550" s="449" t="s">
        <v>735</v>
      </c>
      <c r="C550" s="406"/>
      <c r="D550" s="406"/>
      <c r="E550" s="406"/>
      <c r="F550" s="406"/>
      <c r="G550" s="406"/>
      <c r="H550" s="552"/>
      <c r="I550" s="474"/>
      <c r="J550" s="472"/>
      <c r="K550" s="561"/>
      <c r="L550" s="519" t="e">
        <f t="shared" si="249"/>
        <v>#DIV/0!</v>
      </c>
      <c r="M550" s="519" t="e">
        <f t="shared" si="250"/>
        <v>#DIV/0!</v>
      </c>
    </row>
    <row r="551" spans="1:13" ht="18.75">
      <c r="A551" s="466" t="s">
        <v>500</v>
      </c>
      <c r="B551" s="467" t="s">
        <v>108</v>
      </c>
      <c r="C551" s="406"/>
      <c r="D551" s="406"/>
      <c r="E551" s="406"/>
      <c r="F551" s="406"/>
      <c r="G551" s="406"/>
      <c r="H551" s="552"/>
      <c r="I551" s="498">
        <f t="shared" ref="I551:K554" si="282">I552</f>
        <v>10861000000</v>
      </c>
      <c r="J551" s="498">
        <f t="shared" si="282"/>
        <v>10861000000</v>
      </c>
      <c r="K551" s="572">
        <f t="shared" si="282"/>
        <v>10999000000</v>
      </c>
      <c r="L551" s="519">
        <f t="shared" si="249"/>
        <v>100</v>
      </c>
      <c r="M551" s="519">
        <f t="shared" si="250"/>
        <v>98.745340485498673</v>
      </c>
    </row>
    <row r="552" spans="1:13" ht="18.75">
      <c r="A552" s="428"/>
      <c r="B552" s="429" t="s">
        <v>309</v>
      </c>
      <c r="C552" s="406"/>
      <c r="D552" s="406"/>
      <c r="E552" s="406"/>
      <c r="F552" s="406"/>
      <c r="G552" s="406"/>
      <c r="H552" s="552"/>
      <c r="I552" s="491">
        <f t="shared" si="282"/>
        <v>10861000000</v>
      </c>
      <c r="J552" s="491">
        <f t="shared" si="282"/>
        <v>10861000000</v>
      </c>
      <c r="K552" s="565">
        <f t="shared" si="282"/>
        <v>10999000000</v>
      </c>
      <c r="L552" s="519">
        <f t="shared" si="249"/>
        <v>100</v>
      </c>
      <c r="M552" s="519">
        <f t="shared" si="250"/>
        <v>98.745340485498673</v>
      </c>
    </row>
    <row r="553" spans="1:13" ht="37.5">
      <c r="A553" s="428" t="s">
        <v>11</v>
      </c>
      <c r="B553" s="421" t="s">
        <v>110</v>
      </c>
      <c r="C553" s="406"/>
      <c r="D553" s="406"/>
      <c r="E553" s="406"/>
      <c r="F553" s="406"/>
      <c r="G553" s="406"/>
      <c r="H553" s="552"/>
      <c r="I553" s="491">
        <f t="shared" si="282"/>
        <v>10861000000</v>
      </c>
      <c r="J553" s="491">
        <f t="shared" si="282"/>
        <v>10861000000</v>
      </c>
      <c r="K553" s="565">
        <f t="shared" si="282"/>
        <v>10999000000</v>
      </c>
      <c r="L553" s="519">
        <f t="shared" si="249"/>
        <v>100</v>
      </c>
      <c r="M553" s="519">
        <f t="shared" si="250"/>
        <v>98.745340485498673</v>
      </c>
    </row>
    <row r="554" spans="1:13" ht="39">
      <c r="A554" s="435"/>
      <c r="B554" s="436" t="s">
        <v>470</v>
      </c>
      <c r="C554" s="406"/>
      <c r="D554" s="406"/>
      <c r="E554" s="406"/>
      <c r="F554" s="406"/>
      <c r="G554" s="406"/>
      <c r="H554" s="552"/>
      <c r="I554" s="471">
        <f t="shared" si="282"/>
        <v>10861000000</v>
      </c>
      <c r="J554" s="471">
        <f t="shared" si="282"/>
        <v>10861000000</v>
      </c>
      <c r="K554" s="563">
        <f t="shared" si="282"/>
        <v>10999000000</v>
      </c>
      <c r="L554" s="519">
        <f t="shared" si="249"/>
        <v>100</v>
      </c>
      <c r="M554" s="519">
        <f t="shared" si="250"/>
        <v>98.745340485498673</v>
      </c>
    </row>
    <row r="555" spans="1:13" ht="37.5">
      <c r="A555" s="437"/>
      <c r="B555" s="438" t="s">
        <v>310</v>
      </c>
      <c r="C555" s="406"/>
      <c r="D555" s="406"/>
      <c r="E555" s="406"/>
      <c r="F555" s="406"/>
      <c r="G555" s="406"/>
      <c r="H555" s="552"/>
      <c r="I555" s="474">
        <v>10861000000</v>
      </c>
      <c r="J555" s="474">
        <v>10861000000</v>
      </c>
      <c r="K555" s="561">
        <v>10999000000</v>
      </c>
      <c r="L555" s="519">
        <f t="shared" si="249"/>
        <v>100</v>
      </c>
      <c r="M555" s="519">
        <f t="shared" si="250"/>
        <v>98.745340485498673</v>
      </c>
    </row>
    <row r="556" spans="1:13" ht="56.25">
      <c r="A556" s="426" t="s">
        <v>109</v>
      </c>
      <c r="B556" s="468" t="s">
        <v>501</v>
      </c>
      <c r="C556" s="406"/>
      <c r="D556" s="406"/>
      <c r="E556" s="406"/>
      <c r="F556" s="406"/>
      <c r="G556" s="406"/>
      <c r="H556" s="552"/>
      <c r="I556" s="499">
        <f t="shared" ref="I556:K558" si="283">I557</f>
        <v>120000000</v>
      </c>
      <c r="J556" s="499">
        <f t="shared" si="283"/>
        <v>120000000</v>
      </c>
      <c r="K556" s="573">
        <f t="shared" si="283"/>
        <v>0</v>
      </c>
      <c r="L556" s="519">
        <f t="shared" si="249"/>
        <v>100</v>
      </c>
      <c r="M556" s="519" t="e">
        <f t="shared" si="250"/>
        <v>#DIV/0!</v>
      </c>
    </row>
    <row r="557" spans="1:13" ht="37.5">
      <c r="A557" s="428"/>
      <c r="B557" s="429" t="s">
        <v>308</v>
      </c>
      <c r="C557" s="406"/>
      <c r="D557" s="406"/>
      <c r="E557" s="406"/>
      <c r="F557" s="406"/>
      <c r="G557" s="406"/>
      <c r="H557" s="552"/>
      <c r="I557" s="491">
        <f t="shared" si="283"/>
        <v>120000000</v>
      </c>
      <c r="J557" s="491">
        <f t="shared" si="283"/>
        <v>120000000</v>
      </c>
      <c r="K557" s="565">
        <f t="shared" si="283"/>
        <v>0</v>
      </c>
      <c r="L557" s="519">
        <f t="shared" si="249"/>
        <v>100</v>
      </c>
      <c r="M557" s="519" t="e">
        <f t="shared" si="250"/>
        <v>#DIV/0!</v>
      </c>
    </row>
    <row r="558" spans="1:13" ht="19.5">
      <c r="A558" s="428"/>
      <c r="B558" s="423" t="s">
        <v>529</v>
      </c>
      <c r="C558" s="406"/>
      <c r="D558" s="406"/>
      <c r="E558" s="406"/>
      <c r="F558" s="406"/>
      <c r="G558" s="406"/>
      <c r="H558" s="552"/>
      <c r="I558" s="491">
        <f t="shared" si="283"/>
        <v>120000000</v>
      </c>
      <c r="J558" s="491">
        <f t="shared" si="283"/>
        <v>120000000</v>
      </c>
      <c r="K558" s="565">
        <f t="shared" si="283"/>
        <v>0</v>
      </c>
      <c r="L558" s="519">
        <f t="shared" si="249"/>
        <v>100</v>
      </c>
      <c r="M558" s="519" t="e">
        <f t="shared" si="250"/>
        <v>#DIV/0!</v>
      </c>
    </row>
    <row r="559" spans="1:13" ht="37.5">
      <c r="A559" s="437"/>
      <c r="B559" s="424" t="s">
        <v>502</v>
      </c>
      <c r="C559" s="406"/>
      <c r="D559" s="406"/>
      <c r="E559" s="406"/>
      <c r="F559" s="406"/>
      <c r="G559" s="406"/>
      <c r="H559" s="552"/>
      <c r="I559" s="474">
        <v>120000000</v>
      </c>
      <c r="J559" s="472">
        <v>120000000</v>
      </c>
      <c r="K559" s="561"/>
      <c r="L559" s="519">
        <f t="shared" si="249"/>
        <v>100</v>
      </c>
      <c r="M559" s="519" t="e">
        <f t="shared" si="250"/>
        <v>#DIV/0!</v>
      </c>
    </row>
  </sheetData>
  <autoFilter ref="A5:AC5" xr:uid="{915F72C6-20A5-424A-A360-14ABDAF4D620}"/>
  <mergeCells count="7">
    <mergeCell ref="A1:M1"/>
    <mergeCell ref="J3:J4"/>
    <mergeCell ref="K3:K4"/>
    <mergeCell ref="L3:M3"/>
    <mergeCell ref="I3:I4"/>
    <mergeCell ref="B3:B4"/>
    <mergeCell ref="A3:A4"/>
  </mergeCells>
  <printOptions horizontalCentered="1"/>
  <pageMargins left="0" right="0" top="0.43" bottom="0.36" header="0.17" footer="0.22"/>
  <pageSetup paperSize="9" scale="52" orientation="portrait" r:id="rId1"/>
  <headerFooter differentFirst="1">
    <oddHeader>&amp;CPage &amp;P</oddHeader>
  </headerFooter>
  <rowBreaks count="1" manualBreakCount="1">
    <brk id="525" max="17" man="1"/>
  </rowBreaks>
  <colBreaks count="1" manualBreakCount="1">
    <brk id="13" max="47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B98"/>
  <sheetViews>
    <sheetView tabSelected="1" showRuler="0" zoomScale="85" zoomScaleNormal="85" workbookViewId="0">
      <selection activeCell="G47" sqref="G47"/>
    </sheetView>
  </sheetViews>
  <sheetFormatPr defaultRowHeight="18.75"/>
  <cols>
    <col min="1" max="1" width="5" style="378" customWidth="1"/>
    <col min="2" max="2" width="46.85546875" style="378" customWidth="1"/>
    <col min="3" max="4" width="13.42578125" style="303" customWidth="1"/>
    <col min="5" max="5" width="21.28515625" style="304" hidden="1" customWidth="1"/>
    <col min="6" max="6" width="13.85546875" style="303" customWidth="1"/>
    <col min="7" max="7" width="14.42578125" style="303" customWidth="1"/>
    <col min="8" max="9" width="16.42578125" style="377" customWidth="1"/>
    <col min="10" max="10" width="11.140625" style="377" customWidth="1"/>
    <col min="11" max="11" width="19.140625" style="377" customWidth="1"/>
    <col min="12" max="12" width="17.85546875" style="371" customWidth="1"/>
    <col min="13" max="13" width="14.5703125" style="372" customWidth="1"/>
    <col min="14" max="14" width="15.7109375" style="372" customWidth="1"/>
    <col min="15" max="15" width="16.85546875" style="372" customWidth="1"/>
    <col min="16" max="16" width="17.85546875" style="372" customWidth="1"/>
    <col min="17" max="17" width="16.5703125" style="372" customWidth="1"/>
    <col min="18" max="18" width="17" style="372" customWidth="1"/>
    <col min="19" max="19" width="11.140625" style="372" customWidth="1"/>
    <col min="20" max="20" width="11" style="376" customWidth="1"/>
    <col min="21" max="21" width="10" style="283" hidden="1" customWidth="1"/>
    <col min="22" max="22" width="9" style="282" hidden="1" customWidth="1"/>
    <col min="23" max="23" width="11.5703125" style="284" hidden="1" customWidth="1"/>
    <col min="24" max="24" width="8" style="284" hidden="1" customWidth="1"/>
    <col min="25" max="25" width="11" style="284" hidden="1" customWidth="1"/>
    <col min="26" max="26" width="9" style="284" hidden="1" customWidth="1"/>
    <col min="27" max="27" width="7.42578125" style="284" hidden="1" customWidth="1"/>
    <col min="28" max="28" width="8.5703125" style="284" hidden="1" customWidth="1"/>
    <col min="29" max="256" width="9.140625" style="284"/>
    <col min="257" max="257" width="5" style="284" customWidth="1"/>
    <col min="258" max="258" width="46.85546875" style="284" customWidth="1"/>
    <col min="259" max="259" width="10.7109375" style="284" customWidth="1"/>
    <col min="260" max="260" width="11.5703125" style="284" customWidth="1"/>
    <col min="261" max="261" width="10.7109375" style="284" customWidth="1"/>
    <col min="262" max="262" width="11.7109375" style="284" customWidth="1"/>
    <col min="263" max="263" width="13.5703125" style="284" customWidth="1"/>
    <col min="264" max="265" width="16.42578125" style="284" customWidth="1"/>
    <col min="266" max="266" width="11.140625" style="284" customWidth="1"/>
    <col min="267" max="267" width="19.140625" style="284" customWidth="1"/>
    <col min="268" max="268" width="17.85546875" style="284" customWidth="1"/>
    <col min="269" max="269" width="14.5703125" style="284" customWidth="1"/>
    <col min="270" max="270" width="15.7109375" style="284" customWidth="1"/>
    <col min="271" max="271" width="16.85546875" style="284" customWidth="1"/>
    <col min="272" max="272" width="17.85546875" style="284" customWidth="1"/>
    <col min="273" max="273" width="16.5703125" style="284" customWidth="1"/>
    <col min="274" max="274" width="17" style="284" customWidth="1"/>
    <col min="275" max="275" width="11.140625" style="284" customWidth="1"/>
    <col min="276" max="276" width="11" style="284" customWidth="1"/>
    <col min="277" max="284" width="0" style="284" hidden="1" customWidth="1"/>
    <col min="285" max="512" width="9.140625" style="284"/>
    <col min="513" max="513" width="5" style="284" customWidth="1"/>
    <col min="514" max="514" width="46.85546875" style="284" customWidth="1"/>
    <col min="515" max="515" width="10.7109375" style="284" customWidth="1"/>
    <col min="516" max="516" width="11.5703125" style="284" customWidth="1"/>
    <col min="517" max="517" width="10.7109375" style="284" customWidth="1"/>
    <col min="518" max="518" width="11.7109375" style="284" customWidth="1"/>
    <col min="519" max="519" width="13.5703125" style="284" customWidth="1"/>
    <col min="520" max="521" width="16.42578125" style="284" customWidth="1"/>
    <col min="522" max="522" width="11.140625" style="284" customWidth="1"/>
    <col min="523" max="523" width="19.140625" style="284" customWidth="1"/>
    <col min="524" max="524" width="17.85546875" style="284" customWidth="1"/>
    <col min="525" max="525" width="14.5703125" style="284" customWidth="1"/>
    <col min="526" max="526" width="15.7109375" style="284" customWidth="1"/>
    <col min="527" max="527" width="16.85546875" style="284" customWidth="1"/>
    <col min="528" max="528" width="17.85546875" style="284" customWidth="1"/>
    <col min="529" max="529" width="16.5703125" style="284" customWidth="1"/>
    <col min="530" max="530" width="17" style="284" customWidth="1"/>
    <col min="531" max="531" width="11.140625" style="284" customWidth="1"/>
    <col min="532" max="532" width="11" style="284" customWidth="1"/>
    <col min="533" max="540" width="0" style="284" hidden="1" customWidth="1"/>
    <col min="541" max="768" width="9.140625" style="284"/>
    <col min="769" max="769" width="5" style="284" customWidth="1"/>
    <col min="770" max="770" width="46.85546875" style="284" customWidth="1"/>
    <col min="771" max="771" width="10.7109375" style="284" customWidth="1"/>
    <col min="772" max="772" width="11.5703125" style="284" customWidth="1"/>
    <col min="773" max="773" width="10.7109375" style="284" customWidth="1"/>
    <col min="774" max="774" width="11.7109375" style="284" customWidth="1"/>
    <col min="775" max="775" width="13.5703125" style="284" customWidth="1"/>
    <col min="776" max="777" width="16.42578125" style="284" customWidth="1"/>
    <col min="778" max="778" width="11.140625" style="284" customWidth="1"/>
    <col min="779" max="779" width="19.140625" style="284" customWidth="1"/>
    <col min="780" max="780" width="17.85546875" style="284" customWidth="1"/>
    <col min="781" max="781" width="14.5703125" style="284" customWidth="1"/>
    <col min="782" max="782" width="15.7109375" style="284" customWidth="1"/>
    <col min="783" max="783" width="16.85546875" style="284" customWidth="1"/>
    <col min="784" max="784" width="17.85546875" style="284" customWidth="1"/>
    <col min="785" max="785" width="16.5703125" style="284" customWidth="1"/>
    <col min="786" max="786" width="17" style="284" customWidth="1"/>
    <col min="787" max="787" width="11.140625" style="284" customWidth="1"/>
    <col min="788" max="788" width="11" style="284" customWidth="1"/>
    <col min="789" max="796" width="0" style="284" hidden="1" customWidth="1"/>
    <col min="797" max="1024" width="9.140625" style="284"/>
    <col min="1025" max="1025" width="5" style="284" customWidth="1"/>
    <col min="1026" max="1026" width="46.85546875" style="284" customWidth="1"/>
    <col min="1027" max="1027" width="10.7109375" style="284" customWidth="1"/>
    <col min="1028" max="1028" width="11.5703125" style="284" customWidth="1"/>
    <col min="1029" max="1029" width="10.7109375" style="284" customWidth="1"/>
    <col min="1030" max="1030" width="11.7109375" style="284" customWidth="1"/>
    <col min="1031" max="1031" width="13.5703125" style="284" customWidth="1"/>
    <col min="1032" max="1033" width="16.42578125" style="284" customWidth="1"/>
    <col min="1034" max="1034" width="11.140625" style="284" customWidth="1"/>
    <col min="1035" max="1035" width="19.140625" style="284" customWidth="1"/>
    <col min="1036" max="1036" width="17.85546875" style="284" customWidth="1"/>
    <col min="1037" max="1037" width="14.5703125" style="284" customWidth="1"/>
    <col min="1038" max="1038" width="15.7109375" style="284" customWidth="1"/>
    <col min="1039" max="1039" width="16.85546875" style="284" customWidth="1"/>
    <col min="1040" max="1040" width="17.85546875" style="284" customWidth="1"/>
    <col min="1041" max="1041" width="16.5703125" style="284" customWidth="1"/>
    <col min="1042" max="1042" width="17" style="284" customWidth="1"/>
    <col min="1043" max="1043" width="11.140625" style="284" customWidth="1"/>
    <col min="1044" max="1044" width="11" style="284" customWidth="1"/>
    <col min="1045" max="1052" width="0" style="284" hidden="1" customWidth="1"/>
    <col min="1053" max="1280" width="9.140625" style="284"/>
    <col min="1281" max="1281" width="5" style="284" customWidth="1"/>
    <col min="1282" max="1282" width="46.85546875" style="284" customWidth="1"/>
    <col min="1283" max="1283" width="10.7109375" style="284" customWidth="1"/>
    <col min="1284" max="1284" width="11.5703125" style="284" customWidth="1"/>
    <col min="1285" max="1285" width="10.7109375" style="284" customWidth="1"/>
    <col min="1286" max="1286" width="11.7109375" style="284" customWidth="1"/>
    <col min="1287" max="1287" width="13.5703125" style="284" customWidth="1"/>
    <col min="1288" max="1289" width="16.42578125" style="284" customWidth="1"/>
    <col min="1290" max="1290" width="11.140625" style="284" customWidth="1"/>
    <col min="1291" max="1291" width="19.140625" style="284" customWidth="1"/>
    <col min="1292" max="1292" width="17.85546875" style="284" customWidth="1"/>
    <col min="1293" max="1293" width="14.5703125" style="284" customWidth="1"/>
    <col min="1294" max="1294" width="15.7109375" style="284" customWidth="1"/>
    <col min="1295" max="1295" width="16.85546875" style="284" customWidth="1"/>
    <col min="1296" max="1296" width="17.85546875" style="284" customWidth="1"/>
    <col min="1297" max="1297" width="16.5703125" style="284" customWidth="1"/>
    <col min="1298" max="1298" width="17" style="284" customWidth="1"/>
    <col min="1299" max="1299" width="11.140625" style="284" customWidth="1"/>
    <col min="1300" max="1300" width="11" style="284" customWidth="1"/>
    <col min="1301" max="1308" width="0" style="284" hidden="1" customWidth="1"/>
    <col min="1309" max="1536" width="9.140625" style="284"/>
    <col min="1537" max="1537" width="5" style="284" customWidth="1"/>
    <col min="1538" max="1538" width="46.85546875" style="284" customWidth="1"/>
    <col min="1539" max="1539" width="10.7109375" style="284" customWidth="1"/>
    <col min="1540" max="1540" width="11.5703125" style="284" customWidth="1"/>
    <col min="1541" max="1541" width="10.7109375" style="284" customWidth="1"/>
    <col min="1542" max="1542" width="11.7109375" style="284" customWidth="1"/>
    <col min="1543" max="1543" width="13.5703125" style="284" customWidth="1"/>
    <col min="1544" max="1545" width="16.42578125" style="284" customWidth="1"/>
    <col min="1546" max="1546" width="11.140625" style="284" customWidth="1"/>
    <col min="1547" max="1547" width="19.140625" style="284" customWidth="1"/>
    <col min="1548" max="1548" width="17.85546875" style="284" customWidth="1"/>
    <col min="1549" max="1549" width="14.5703125" style="284" customWidth="1"/>
    <col min="1550" max="1550" width="15.7109375" style="284" customWidth="1"/>
    <col min="1551" max="1551" width="16.85546875" style="284" customWidth="1"/>
    <col min="1552" max="1552" width="17.85546875" style="284" customWidth="1"/>
    <col min="1553" max="1553" width="16.5703125" style="284" customWidth="1"/>
    <col min="1554" max="1554" width="17" style="284" customWidth="1"/>
    <col min="1555" max="1555" width="11.140625" style="284" customWidth="1"/>
    <col min="1556" max="1556" width="11" style="284" customWidth="1"/>
    <col min="1557" max="1564" width="0" style="284" hidden="1" customWidth="1"/>
    <col min="1565" max="1792" width="9.140625" style="284"/>
    <col min="1793" max="1793" width="5" style="284" customWidth="1"/>
    <col min="1794" max="1794" width="46.85546875" style="284" customWidth="1"/>
    <col min="1795" max="1795" width="10.7109375" style="284" customWidth="1"/>
    <col min="1796" max="1796" width="11.5703125" style="284" customWidth="1"/>
    <col min="1797" max="1797" width="10.7109375" style="284" customWidth="1"/>
    <col min="1798" max="1798" width="11.7109375" style="284" customWidth="1"/>
    <col min="1799" max="1799" width="13.5703125" style="284" customWidth="1"/>
    <col min="1800" max="1801" width="16.42578125" style="284" customWidth="1"/>
    <col min="1802" max="1802" width="11.140625" style="284" customWidth="1"/>
    <col min="1803" max="1803" width="19.140625" style="284" customWidth="1"/>
    <col min="1804" max="1804" width="17.85546875" style="284" customWidth="1"/>
    <col min="1805" max="1805" width="14.5703125" style="284" customWidth="1"/>
    <col min="1806" max="1806" width="15.7109375" style="284" customWidth="1"/>
    <col min="1807" max="1807" width="16.85546875" style="284" customWidth="1"/>
    <col min="1808" max="1808" width="17.85546875" style="284" customWidth="1"/>
    <col min="1809" max="1809" width="16.5703125" style="284" customWidth="1"/>
    <col min="1810" max="1810" width="17" style="284" customWidth="1"/>
    <col min="1811" max="1811" width="11.140625" style="284" customWidth="1"/>
    <col min="1812" max="1812" width="11" style="284" customWidth="1"/>
    <col min="1813" max="1820" width="0" style="284" hidden="1" customWidth="1"/>
    <col min="1821" max="2048" width="9.140625" style="284"/>
    <col min="2049" max="2049" width="5" style="284" customWidth="1"/>
    <col min="2050" max="2050" width="46.85546875" style="284" customWidth="1"/>
    <col min="2051" max="2051" width="10.7109375" style="284" customWidth="1"/>
    <col min="2052" max="2052" width="11.5703125" style="284" customWidth="1"/>
    <col min="2053" max="2053" width="10.7109375" style="284" customWidth="1"/>
    <col min="2054" max="2054" width="11.7109375" style="284" customWidth="1"/>
    <col min="2055" max="2055" width="13.5703125" style="284" customWidth="1"/>
    <col min="2056" max="2057" width="16.42578125" style="284" customWidth="1"/>
    <col min="2058" max="2058" width="11.140625" style="284" customWidth="1"/>
    <col min="2059" max="2059" width="19.140625" style="284" customWidth="1"/>
    <col min="2060" max="2060" width="17.85546875" style="284" customWidth="1"/>
    <col min="2061" max="2061" width="14.5703125" style="284" customWidth="1"/>
    <col min="2062" max="2062" width="15.7109375" style="284" customWidth="1"/>
    <col min="2063" max="2063" width="16.85546875" style="284" customWidth="1"/>
    <col min="2064" max="2064" width="17.85546875" style="284" customWidth="1"/>
    <col min="2065" max="2065" width="16.5703125" style="284" customWidth="1"/>
    <col min="2066" max="2066" width="17" style="284" customWidth="1"/>
    <col min="2067" max="2067" width="11.140625" style="284" customWidth="1"/>
    <col min="2068" max="2068" width="11" style="284" customWidth="1"/>
    <col min="2069" max="2076" width="0" style="284" hidden="1" customWidth="1"/>
    <col min="2077" max="2304" width="9.140625" style="284"/>
    <col min="2305" max="2305" width="5" style="284" customWidth="1"/>
    <col min="2306" max="2306" width="46.85546875" style="284" customWidth="1"/>
    <col min="2307" max="2307" width="10.7109375" style="284" customWidth="1"/>
    <col min="2308" max="2308" width="11.5703125" style="284" customWidth="1"/>
    <col min="2309" max="2309" width="10.7109375" style="284" customWidth="1"/>
    <col min="2310" max="2310" width="11.7109375" style="284" customWidth="1"/>
    <col min="2311" max="2311" width="13.5703125" style="284" customWidth="1"/>
    <col min="2312" max="2313" width="16.42578125" style="284" customWidth="1"/>
    <col min="2314" max="2314" width="11.140625" style="284" customWidth="1"/>
    <col min="2315" max="2315" width="19.140625" style="284" customWidth="1"/>
    <col min="2316" max="2316" width="17.85546875" style="284" customWidth="1"/>
    <col min="2317" max="2317" width="14.5703125" style="284" customWidth="1"/>
    <col min="2318" max="2318" width="15.7109375" style="284" customWidth="1"/>
    <col min="2319" max="2319" width="16.85546875" style="284" customWidth="1"/>
    <col min="2320" max="2320" width="17.85546875" style="284" customWidth="1"/>
    <col min="2321" max="2321" width="16.5703125" style="284" customWidth="1"/>
    <col min="2322" max="2322" width="17" style="284" customWidth="1"/>
    <col min="2323" max="2323" width="11.140625" style="284" customWidth="1"/>
    <col min="2324" max="2324" width="11" style="284" customWidth="1"/>
    <col min="2325" max="2332" width="0" style="284" hidden="1" customWidth="1"/>
    <col min="2333" max="2560" width="9.140625" style="284"/>
    <col min="2561" max="2561" width="5" style="284" customWidth="1"/>
    <col min="2562" max="2562" width="46.85546875" style="284" customWidth="1"/>
    <col min="2563" max="2563" width="10.7109375" style="284" customWidth="1"/>
    <col min="2564" max="2564" width="11.5703125" style="284" customWidth="1"/>
    <col min="2565" max="2565" width="10.7109375" style="284" customWidth="1"/>
    <col min="2566" max="2566" width="11.7109375" style="284" customWidth="1"/>
    <col min="2567" max="2567" width="13.5703125" style="284" customWidth="1"/>
    <col min="2568" max="2569" width="16.42578125" style="284" customWidth="1"/>
    <col min="2570" max="2570" width="11.140625" style="284" customWidth="1"/>
    <col min="2571" max="2571" width="19.140625" style="284" customWidth="1"/>
    <col min="2572" max="2572" width="17.85546875" style="284" customWidth="1"/>
    <col min="2573" max="2573" width="14.5703125" style="284" customWidth="1"/>
    <col min="2574" max="2574" width="15.7109375" style="284" customWidth="1"/>
    <col min="2575" max="2575" width="16.85546875" style="284" customWidth="1"/>
    <col min="2576" max="2576" width="17.85546875" style="284" customWidth="1"/>
    <col min="2577" max="2577" width="16.5703125" style="284" customWidth="1"/>
    <col min="2578" max="2578" width="17" style="284" customWidth="1"/>
    <col min="2579" max="2579" width="11.140625" style="284" customWidth="1"/>
    <col min="2580" max="2580" width="11" style="284" customWidth="1"/>
    <col min="2581" max="2588" width="0" style="284" hidden="1" customWidth="1"/>
    <col min="2589" max="2816" width="9.140625" style="284"/>
    <col min="2817" max="2817" width="5" style="284" customWidth="1"/>
    <col min="2818" max="2818" width="46.85546875" style="284" customWidth="1"/>
    <col min="2819" max="2819" width="10.7109375" style="284" customWidth="1"/>
    <col min="2820" max="2820" width="11.5703125" style="284" customWidth="1"/>
    <col min="2821" max="2821" width="10.7109375" style="284" customWidth="1"/>
    <col min="2822" max="2822" width="11.7109375" style="284" customWidth="1"/>
    <col min="2823" max="2823" width="13.5703125" style="284" customWidth="1"/>
    <col min="2824" max="2825" width="16.42578125" style="284" customWidth="1"/>
    <col min="2826" max="2826" width="11.140625" style="284" customWidth="1"/>
    <col min="2827" max="2827" width="19.140625" style="284" customWidth="1"/>
    <col min="2828" max="2828" width="17.85546875" style="284" customWidth="1"/>
    <col min="2829" max="2829" width="14.5703125" style="284" customWidth="1"/>
    <col min="2830" max="2830" width="15.7109375" style="284" customWidth="1"/>
    <col min="2831" max="2831" width="16.85546875" style="284" customWidth="1"/>
    <col min="2832" max="2832" width="17.85546875" style="284" customWidth="1"/>
    <col min="2833" max="2833" width="16.5703125" style="284" customWidth="1"/>
    <col min="2834" max="2834" width="17" style="284" customWidth="1"/>
    <col min="2835" max="2835" width="11.140625" style="284" customWidth="1"/>
    <col min="2836" max="2836" width="11" style="284" customWidth="1"/>
    <col min="2837" max="2844" width="0" style="284" hidden="1" customWidth="1"/>
    <col min="2845" max="3072" width="9.140625" style="284"/>
    <col min="3073" max="3073" width="5" style="284" customWidth="1"/>
    <col min="3074" max="3074" width="46.85546875" style="284" customWidth="1"/>
    <col min="3075" max="3075" width="10.7109375" style="284" customWidth="1"/>
    <col min="3076" max="3076" width="11.5703125" style="284" customWidth="1"/>
    <col min="3077" max="3077" width="10.7109375" style="284" customWidth="1"/>
    <col min="3078" max="3078" width="11.7109375" style="284" customWidth="1"/>
    <col min="3079" max="3079" width="13.5703125" style="284" customWidth="1"/>
    <col min="3080" max="3081" width="16.42578125" style="284" customWidth="1"/>
    <col min="3082" max="3082" width="11.140625" style="284" customWidth="1"/>
    <col min="3083" max="3083" width="19.140625" style="284" customWidth="1"/>
    <col min="3084" max="3084" width="17.85546875" style="284" customWidth="1"/>
    <col min="3085" max="3085" width="14.5703125" style="284" customWidth="1"/>
    <col min="3086" max="3086" width="15.7109375" style="284" customWidth="1"/>
    <col min="3087" max="3087" width="16.85546875" style="284" customWidth="1"/>
    <col min="3088" max="3088" width="17.85546875" style="284" customWidth="1"/>
    <col min="3089" max="3089" width="16.5703125" style="284" customWidth="1"/>
    <col min="3090" max="3090" width="17" style="284" customWidth="1"/>
    <col min="3091" max="3091" width="11.140625" style="284" customWidth="1"/>
    <col min="3092" max="3092" width="11" style="284" customWidth="1"/>
    <col min="3093" max="3100" width="0" style="284" hidden="1" customWidth="1"/>
    <col min="3101" max="3328" width="9.140625" style="284"/>
    <col min="3329" max="3329" width="5" style="284" customWidth="1"/>
    <col min="3330" max="3330" width="46.85546875" style="284" customWidth="1"/>
    <col min="3331" max="3331" width="10.7109375" style="284" customWidth="1"/>
    <col min="3332" max="3332" width="11.5703125" style="284" customWidth="1"/>
    <col min="3333" max="3333" width="10.7109375" style="284" customWidth="1"/>
    <col min="3334" max="3334" width="11.7109375" style="284" customWidth="1"/>
    <col min="3335" max="3335" width="13.5703125" style="284" customWidth="1"/>
    <col min="3336" max="3337" width="16.42578125" style="284" customWidth="1"/>
    <col min="3338" max="3338" width="11.140625" style="284" customWidth="1"/>
    <col min="3339" max="3339" width="19.140625" style="284" customWidth="1"/>
    <col min="3340" max="3340" width="17.85546875" style="284" customWidth="1"/>
    <col min="3341" max="3341" width="14.5703125" style="284" customWidth="1"/>
    <col min="3342" max="3342" width="15.7109375" style="284" customWidth="1"/>
    <col min="3343" max="3343" width="16.85546875" style="284" customWidth="1"/>
    <col min="3344" max="3344" width="17.85546875" style="284" customWidth="1"/>
    <col min="3345" max="3345" width="16.5703125" style="284" customWidth="1"/>
    <col min="3346" max="3346" width="17" style="284" customWidth="1"/>
    <col min="3347" max="3347" width="11.140625" style="284" customWidth="1"/>
    <col min="3348" max="3348" width="11" style="284" customWidth="1"/>
    <col min="3349" max="3356" width="0" style="284" hidden="1" customWidth="1"/>
    <col min="3357" max="3584" width="9.140625" style="284"/>
    <col min="3585" max="3585" width="5" style="284" customWidth="1"/>
    <col min="3586" max="3586" width="46.85546875" style="284" customWidth="1"/>
    <col min="3587" max="3587" width="10.7109375" style="284" customWidth="1"/>
    <col min="3588" max="3588" width="11.5703125" style="284" customWidth="1"/>
    <col min="3589" max="3589" width="10.7109375" style="284" customWidth="1"/>
    <col min="3590" max="3590" width="11.7109375" style="284" customWidth="1"/>
    <col min="3591" max="3591" width="13.5703125" style="284" customWidth="1"/>
    <col min="3592" max="3593" width="16.42578125" style="284" customWidth="1"/>
    <col min="3594" max="3594" width="11.140625" style="284" customWidth="1"/>
    <col min="3595" max="3595" width="19.140625" style="284" customWidth="1"/>
    <col min="3596" max="3596" width="17.85546875" style="284" customWidth="1"/>
    <col min="3597" max="3597" width="14.5703125" style="284" customWidth="1"/>
    <col min="3598" max="3598" width="15.7109375" style="284" customWidth="1"/>
    <col min="3599" max="3599" width="16.85546875" style="284" customWidth="1"/>
    <col min="3600" max="3600" width="17.85546875" style="284" customWidth="1"/>
    <col min="3601" max="3601" width="16.5703125" style="284" customWidth="1"/>
    <col min="3602" max="3602" width="17" style="284" customWidth="1"/>
    <col min="3603" max="3603" width="11.140625" style="284" customWidth="1"/>
    <col min="3604" max="3604" width="11" style="284" customWidth="1"/>
    <col min="3605" max="3612" width="0" style="284" hidden="1" customWidth="1"/>
    <col min="3613" max="3840" width="9.140625" style="284"/>
    <col min="3841" max="3841" width="5" style="284" customWidth="1"/>
    <col min="3842" max="3842" width="46.85546875" style="284" customWidth="1"/>
    <col min="3843" max="3843" width="10.7109375" style="284" customWidth="1"/>
    <col min="3844" max="3844" width="11.5703125" style="284" customWidth="1"/>
    <col min="3845" max="3845" width="10.7109375" style="284" customWidth="1"/>
    <col min="3846" max="3846" width="11.7109375" style="284" customWidth="1"/>
    <col min="3847" max="3847" width="13.5703125" style="284" customWidth="1"/>
    <col min="3848" max="3849" width="16.42578125" style="284" customWidth="1"/>
    <col min="3850" max="3850" width="11.140625" style="284" customWidth="1"/>
    <col min="3851" max="3851" width="19.140625" style="284" customWidth="1"/>
    <col min="3852" max="3852" width="17.85546875" style="284" customWidth="1"/>
    <col min="3853" max="3853" width="14.5703125" style="284" customWidth="1"/>
    <col min="3854" max="3854" width="15.7109375" style="284" customWidth="1"/>
    <col min="3855" max="3855" width="16.85546875" style="284" customWidth="1"/>
    <col min="3856" max="3856" width="17.85546875" style="284" customWidth="1"/>
    <col min="3857" max="3857" width="16.5703125" style="284" customWidth="1"/>
    <col min="3858" max="3858" width="17" style="284" customWidth="1"/>
    <col min="3859" max="3859" width="11.140625" style="284" customWidth="1"/>
    <col min="3860" max="3860" width="11" style="284" customWidth="1"/>
    <col min="3861" max="3868" width="0" style="284" hidden="1" customWidth="1"/>
    <col min="3869" max="4096" width="9.140625" style="284"/>
    <col min="4097" max="4097" width="5" style="284" customWidth="1"/>
    <col min="4098" max="4098" width="46.85546875" style="284" customWidth="1"/>
    <col min="4099" max="4099" width="10.7109375" style="284" customWidth="1"/>
    <col min="4100" max="4100" width="11.5703125" style="284" customWidth="1"/>
    <col min="4101" max="4101" width="10.7109375" style="284" customWidth="1"/>
    <col min="4102" max="4102" width="11.7109375" style="284" customWidth="1"/>
    <col min="4103" max="4103" width="13.5703125" style="284" customWidth="1"/>
    <col min="4104" max="4105" width="16.42578125" style="284" customWidth="1"/>
    <col min="4106" max="4106" width="11.140625" style="284" customWidth="1"/>
    <col min="4107" max="4107" width="19.140625" style="284" customWidth="1"/>
    <col min="4108" max="4108" width="17.85546875" style="284" customWidth="1"/>
    <col min="4109" max="4109" width="14.5703125" style="284" customWidth="1"/>
    <col min="4110" max="4110" width="15.7109375" style="284" customWidth="1"/>
    <col min="4111" max="4111" width="16.85546875" style="284" customWidth="1"/>
    <col min="4112" max="4112" width="17.85546875" style="284" customWidth="1"/>
    <col min="4113" max="4113" width="16.5703125" style="284" customWidth="1"/>
    <col min="4114" max="4114" width="17" style="284" customWidth="1"/>
    <col min="4115" max="4115" width="11.140625" style="284" customWidth="1"/>
    <col min="4116" max="4116" width="11" style="284" customWidth="1"/>
    <col min="4117" max="4124" width="0" style="284" hidden="1" customWidth="1"/>
    <col min="4125" max="4352" width="9.140625" style="284"/>
    <col min="4353" max="4353" width="5" style="284" customWidth="1"/>
    <col min="4354" max="4354" width="46.85546875" style="284" customWidth="1"/>
    <col min="4355" max="4355" width="10.7109375" style="284" customWidth="1"/>
    <col min="4356" max="4356" width="11.5703125" style="284" customWidth="1"/>
    <col min="4357" max="4357" width="10.7109375" style="284" customWidth="1"/>
    <col min="4358" max="4358" width="11.7109375" style="284" customWidth="1"/>
    <col min="4359" max="4359" width="13.5703125" style="284" customWidth="1"/>
    <col min="4360" max="4361" width="16.42578125" style="284" customWidth="1"/>
    <col min="4362" max="4362" width="11.140625" style="284" customWidth="1"/>
    <col min="4363" max="4363" width="19.140625" style="284" customWidth="1"/>
    <col min="4364" max="4364" width="17.85546875" style="284" customWidth="1"/>
    <col min="4365" max="4365" width="14.5703125" style="284" customWidth="1"/>
    <col min="4366" max="4366" width="15.7109375" style="284" customWidth="1"/>
    <col min="4367" max="4367" width="16.85546875" style="284" customWidth="1"/>
    <col min="4368" max="4368" width="17.85546875" style="284" customWidth="1"/>
    <col min="4369" max="4369" width="16.5703125" style="284" customWidth="1"/>
    <col min="4370" max="4370" width="17" style="284" customWidth="1"/>
    <col min="4371" max="4371" width="11.140625" style="284" customWidth="1"/>
    <col min="4372" max="4372" width="11" style="284" customWidth="1"/>
    <col min="4373" max="4380" width="0" style="284" hidden="1" customWidth="1"/>
    <col min="4381" max="4608" width="9.140625" style="284"/>
    <col min="4609" max="4609" width="5" style="284" customWidth="1"/>
    <col min="4610" max="4610" width="46.85546875" style="284" customWidth="1"/>
    <col min="4611" max="4611" width="10.7109375" style="284" customWidth="1"/>
    <col min="4612" max="4612" width="11.5703125" style="284" customWidth="1"/>
    <col min="4613" max="4613" width="10.7109375" style="284" customWidth="1"/>
    <col min="4614" max="4614" width="11.7109375" style="284" customWidth="1"/>
    <col min="4615" max="4615" width="13.5703125" style="284" customWidth="1"/>
    <col min="4616" max="4617" width="16.42578125" style="284" customWidth="1"/>
    <col min="4618" max="4618" width="11.140625" style="284" customWidth="1"/>
    <col min="4619" max="4619" width="19.140625" style="284" customWidth="1"/>
    <col min="4620" max="4620" width="17.85546875" style="284" customWidth="1"/>
    <col min="4621" max="4621" width="14.5703125" style="284" customWidth="1"/>
    <col min="4622" max="4622" width="15.7109375" style="284" customWidth="1"/>
    <col min="4623" max="4623" width="16.85546875" style="284" customWidth="1"/>
    <col min="4624" max="4624" width="17.85546875" style="284" customWidth="1"/>
    <col min="4625" max="4625" width="16.5703125" style="284" customWidth="1"/>
    <col min="4626" max="4626" width="17" style="284" customWidth="1"/>
    <col min="4627" max="4627" width="11.140625" style="284" customWidth="1"/>
    <col min="4628" max="4628" width="11" style="284" customWidth="1"/>
    <col min="4629" max="4636" width="0" style="284" hidden="1" customWidth="1"/>
    <col min="4637" max="4864" width="9.140625" style="284"/>
    <col min="4865" max="4865" width="5" style="284" customWidth="1"/>
    <col min="4866" max="4866" width="46.85546875" style="284" customWidth="1"/>
    <col min="4867" max="4867" width="10.7109375" style="284" customWidth="1"/>
    <col min="4868" max="4868" width="11.5703125" style="284" customWidth="1"/>
    <col min="4869" max="4869" width="10.7109375" style="284" customWidth="1"/>
    <col min="4870" max="4870" width="11.7109375" style="284" customWidth="1"/>
    <col min="4871" max="4871" width="13.5703125" style="284" customWidth="1"/>
    <col min="4872" max="4873" width="16.42578125" style="284" customWidth="1"/>
    <col min="4874" max="4874" width="11.140625" style="284" customWidth="1"/>
    <col min="4875" max="4875" width="19.140625" style="284" customWidth="1"/>
    <col min="4876" max="4876" width="17.85546875" style="284" customWidth="1"/>
    <col min="4877" max="4877" width="14.5703125" style="284" customWidth="1"/>
    <col min="4878" max="4878" width="15.7109375" style="284" customWidth="1"/>
    <col min="4879" max="4879" width="16.85546875" style="284" customWidth="1"/>
    <col min="4880" max="4880" width="17.85546875" style="284" customWidth="1"/>
    <col min="4881" max="4881" width="16.5703125" style="284" customWidth="1"/>
    <col min="4882" max="4882" width="17" style="284" customWidth="1"/>
    <col min="4883" max="4883" width="11.140625" style="284" customWidth="1"/>
    <col min="4884" max="4884" width="11" style="284" customWidth="1"/>
    <col min="4885" max="4892" width="0" style="284" hidden="1" customWidth="1"/>
    <col min="4893" max="5120" width="9.140625" style="284"/>
    <col min="5121" max="5121" width="5" style="284" customWidth="1"/>
    <col min="5122" max="5122" width="46.85546875" style="284" customWidth="1"/>
    <col min="5123" max="5123" width="10.7109375" style="284" customWidth="1"/>
    <col min="5124" max="5124" width="11.5703125" style="284" customWidth="1"/>
    <col min="5125" max="5125" width="10.7109375" style="284" customWidth="1"/>
    <col min="5126" max="5126" width="11.7109375" style="284" customWidth="1"/>
    <col min="5127" max="5127" width="13.5703125" style="284" customWidth="1"/>
    <col min="5128" max="5129" width="16.42578125" style="284" customWidth="1"/>
    <col min="5130" max="5130" width="11.140625" style="284" customWidth="1"/>
    <col min="5131" max="5131" width="19.140625" style="284" customWidth="1"/>
    <col min="5132" max="5132" width="17.85546875" style="284" customWidth="1"/>
    <col min="5133" max="5133" width="14.5703125" style="284" customWidth="1"/>
    <col min="5134" max="5134" width="15.7109375" style="284" customWidth="1"/>
    <col min="5135" max="5135" width="16.85546875" style="284" customWidth="1"/>
    <col min="5136" max="5136" width="17.85546875" style="284" customWidth="1"/>
    <col min="5137" max="5137" width="16.5703125" style="284" customWidth="1"/>
    <col min="5138" max="5138" width="17" style="284" customWidth="1"/>
    <col min="5139" max="5139" width="11.140625" style="284" customWidth="1"/>
    <col min="5140" max="5140" width="11" style="284" customWidth="1"/>
    <col min="5141" max="5148" width="0" style="284" hidden="1" customWidth="1"/>
    <col min="5149" max="5376" width="9.140625" style="284"/>
    <col min="5377" max="5377" width="5" style="284" customWidth="1"/>
    <col min="5378" max="5378" width="46.85546875" style="284" customWidth="1"/>
    <col min="5379" max="5379" width="10.7109375" style="284" customWidth="1"/>
    <col min="5380" max="5380" width="11.5703125" style="284" customWidth="1"/>
    <col min="5381" max="5381" width="10.7109375" style="284" customWidth="1"/>
    <col min="5382" max="5382" width="11.7109375" style="284" customWidth="1"/>
    <col min="5383" max="5383" width="13.5703125" style="284" customWidth="1"/>
    <col min="5384" max="5385" width="16.42578125" style="284" customWidth="1"/>
    <col min="5386" max="5386" width="11.140625" style="284" customWidth="1"/>
    <col min="5387" max="5387" width="19.140625" style="284" customWidth="1"/>
    <col min="5388" max="5388" width="17.85546875" style="284" customWidth="1"/>
    <col min="5389" max="5389" width="14.5703125" style="284" customWidth="1"/>
    <col min="5390" max="5390" width="15.7109375" style="284" customWidth="1"/>
    <col min="5391" max="5391" width="16.85546875" style="284" customWidth="1"/>
    <col min="5392" max="5392" width="17.85546875" style="284" customWidth="1"/>
    <col min="5393" max="5393" width="16.5703125" style="284" customWidth="1"/>
    <col min="5394" max="5394" width="17" style="284" customWidth="1"/>
    <col min="5395" max="5395" width="11.140625" style="284" customWidth="1"/>
    <col min="5396" max="5396" width="11" style="284" customWidth="1"/>
    <col min="5397" max="5404" width="0" style="284" hidden="1" customWidth="1"/>
    <col min="5405" max="5632" width="9.140625" style="284"/>
    <col min="5633" max="5633" width="5" style="284" customWidth="1"/>
    <col min="5634" max="5634" width="46.85546875" style="284" customWidth="1"/>
    <col min="5635" max="5635" width="10.7109375" style="284" customWidth="1"/>
    <col min="5636" max="5636" width="11.5703125" style="284" customWidth="1"/>
    <col min="5637" max="5637" width="10.7109375" style="284" customWidth="1"/>
    <col min="5638" max="5638" width="11.7109375" style="284" customWidth="1"/>
    <col min="5639" max="5639" width="13.5703125" style="284" customWidth="1"/>
    <col min="5640" max="5641" width="16.42578125" style="284" customWidth="1"/>
    <col min="5642" max="5642" width="11.140625" style="284" customWidth="1"/>
    <col min="5643" max="5643" width="19.140625" style="284" customWidth="1"/>
    <col min="5644" max="5644" width="17.85546875" style="284" customWidth="1"/>
    <col min="5645" max="5645" width="14.5703125" style="284" customWidth="1"/>
    <col min="5646" max="5646" width="15.7109375" style="284" customWidth="1"/>
    <col min="5647" max="5647" width="16.85546875" style="284" customWidth="1"/>
    <col min="5648" max="5648" width="17.85546875" style="284" customWidth="1"/>
    <col min="5649" max="5649" width="16.5703125" style="284" customWidth="1"/>
    <col min="5650" max="5650" width="17" style="284" customWidth="1"/>
    <col min="5651" max="5651" width="11.140625" style="284" customWidth="1"/>
    <col min="5652" max="5652" width="11" style="284" customWidth="1"/>
    <col min="5653" max="5660" width="0" style="284" hidden="1" customWidth="1"/>
    <col min="5661" max="5888" width="9.140625" style="284"/>
    <col min="5889" max="5889" width="5" style="284" customWidth="1"/>
    <col min="5890" max="5890" width="46.85546875" style="284" customWidth="1"/>
    <col min="5891" max="5891" width="10.7109375" style="284" customWidth="1"/>
    <col min="5892" max="5892" width="11.5703125" style="284" customWidth="1"/>
    <col min="5893" max="5893" width="10.7109375" style="284" customWidth="1"/>
    <col min="5894" max="5894" width="11.7109375" style="284" customWidth="1"/>
    <col min="5895" max="5895" width="13.5703125" style="284" customWidth="1"/>
    <col min="5896" max="5897" width="16.42578125" style="284" customWidth="1"/>
    <col min="5898" max="5898" width="11.140625" style="284" customWidth="1"/>
    <col min="5899" max="5899" width="19.140625" style="284" customWidth="1"/>
    <col min="5900" max="5900" width="17.85546875" style="284" customWidth="1"/>
    <col min="5901" max="5901" width="14.5703125" style="284" customWidth="1"/>
    <col min="5902" max="5902" width="15.7109375" style="284" customWidth="1"/>
    <col min="5903" max="5903" width="16.85546875" style="284" customWidth="1"/>
    <col min="5904" max="5904" width="17.85546875" style="284" customWidth="1"/>
    <col min="5905" max="5905" width="16.5703125" style="284" customWidth="1"/>
    <col min="5906" max="5906" width="17" style="284" customWidth="1"/>
    <col min="5907" max="5907" width="11.140625" style="284" customWidth="1"/>
    <col min="5908" max="5908" width="11" style="284" customWidth="1"/>
    <col min="5909" max="5916" width="0" style="284" hidden="1" customWidth="1"/>
    <col min="5917" max="6144" width="9.140625" style="284"/>
    <col min="6145" max="6145" width="5" style="284" customWidth="1"/>
    <col min="6146" max="6146" width="46.85546875" style="284" customWidth="1"/>
    <col min="6147" max="6147" width="10.7109375" style="284" customWidth="1"/>
    <col min="6148" max="6148" width="11.5703125" style="284" customWidth="1"/>
    <col min="6149" max="6149" width="10.7109375" style="284" customWidth="1"/>
    <col min="6150" max="6150" width="11.7109375" style="284" customWidth="1"/>
    <col min="6151" max="6151" width="13.5703125" style="284" customWidth="1"/>
    <col min="6152" max="6153" width="16.42578125" style="284" customWidth="1"/>
    <col min="6154" max="6154" width="11.140625" style="284" customWidth="1"/>
    <col min="6155" max="6155" width="19.140625" style="284" customWidth="1"/>
    <col min="6156" max="6156" width="17.85546875" style="284" customWidth="1"/>
    <col min="6157" max="6157" width="14.5703125" style="284" customWidth="1"/>
    <col min="6158" max="6158" width="15.7109375" style="284" customWidth="1"/>
    <col min="6159" max="6159" width="16.85546875" style="284" customWidth="1"/>
    <col min="6160" max="6160" width="17.85546875" style="284" customWidth="1"/>
    <col min="6161" max="6161" width="16.5703125" style="284" customWidth="1"/>
    <col min="6162" max="6162" width="17" style="284" customWidth="1"/>
    <col min="6163" max="6163" width="11.140625" style="284" customWidth="1"/>
    <col min="6164" max="6164" width="11" style="284" customWidth="1"/>
    <col min="6165" max="6172" width="0" style="284" hidden="1" customWidth="1"/>
    <col min="6173" max="6400" width="9.140625" style="284"/>
    <col min="6401" max="6401" width="5" style="284" customWidth="1"/>
    <col min="6402" max="6402" width="46.85546875" style="284" customWidth="1"/>
    <col min="6403" max="6403" width="10.7109375" style="284" customWidth="1"/>
    <col min="6404" max="6404" width="11.5703125" style="284" customWidth="1"/>
    <col min="6405" max="6405" width="10.7109375" style="284" customWidth="1"/>
    <col min="6406" max="6406" width="11.7109375" style="284" customWidth="1"/>
    <col min="6407" max="6407" width="13.5703125" style="284" customWidth="1"/>
    <col min="6408" max="6409" width="16.42578125" style="284" customWidth="1"/>
    <col min="6410" max="6410" width="11.140625" style="284" customWidth="1"/>
    <col min="6411" max="6411" width="19.140625" style="284" customWidth="1"/>
    <col min="6412" max="6412" width="17.85546875" style="284" customWidth="1"/>
    <col min="6413" max="6413" width="14.5703125" style="284" customWidth="1"/>
    <col min="6414" max="6414" width="15.7109375" style="284" customWidth="1"/>
    <col min="6415" max="6415" width="16.85546875" style="284" customWidth="1"/>
    <col min="6416" max="6416" width="17.85546875" style="284" customWidth="1"/>
    <col min="6417" max="6417" width="16.5703125" style="284" customWidth="1"/>
    <col min="6418" max="6418" width="17" style="284" customWidth="1"/>
    <col min="6419" max="6419" width="11.140625" style="284" customWidth="1"/>
    <col min="6420" max="6420" width="11" style="284" customWidth="1"/>
    <col min="6421" max="6428" width="0" style="284" hidden="1" customWidth="1"/>
    <col min="6429" max="6656" width="9.140625" style="284"/>
    <col min="6657" max="6657" width="5" style="284" customWidth="1"/>
    <col min="6658" max="6658" width="46.85546875" style="284" customWidth="1"/>
    <col min="6659" max="6659" width="10.7109375" style="284" customWidth="1"/>
    <col min="6660" max="6660" width="11.5703125" style="284" customWidth="1"/>
    <col min="6661" max="6661" width="10.7109375" style="284" customWidth="1"/>
    <col min="6662" max="6662" width="11.7109375" style="284" customWidth="1"/>
    <col min="6663" max="6663" width="13.5703125" style="284" customWidth="1"/>
    <col min="6664" max="6665" width="16.42578125" style="284" customWidth="1"/>
    <col min="6666" max="6666" width="11.140625" style="284" customWidth="1"/>
    <col min="6667" max="6667" width="19.140625" style="284" customWidth="1"/>
    <col min="6668" max="6668" width="17.85546875" style="284" customWidth="1"/>
    <col min="6669" max="6669" width="14.5703125" style="284" customWidth="1"/>
    <col min="6670" max="6670" width="15.7109375" style="284" customWidth="1"/>
    <col min="6671" max="6671" width="16.85546875" style="284" customWidth="1"/>
    <col min="6672" max="6672" width="17.85546875" style="284" customWidth="1"/>
    <col min="6673" max="6673" width="16.5703125" style="284" customWidth="1"/>
    <col min="6674" max="6674" width="17" style="284" customWidth="1"/>
    <col min="6675" max="6675" width="11.140625" style="284" customWidth="1"/>
    <col min="6676" max="6676" width="11" style="284" customWidth="1"/>
    <col min="6677" max="6684" width="0" style="284" hidden="1" customWidth="1"/>
    <col min="6685" max="6912" width="9.140625" style="284"/>
    <col min="6913" max="6913" width="5" style="284" customWidth="1"/>
    <col min="6914" max="6914" width="46.85546875" style="284" customWidth="1"/>
    <col min="6915" max="6915" width="10.7109375" style="284" customWidth="1"/>
    <col min="6916" max="6916" width="11.5703125" style="284" customWidth="1"/>
    <col min="6917" max="6917" width="10.7109375" style="284" customWidth="1"/>
    <col min="6918" max="6918" width="11.7109375" style="284" customWidth="1"/>
    <col min="6919" max="6919" width="13.5703125" style="284" customWidth="1"/>
    <col min="6920" max="6921" width="16.42578125" style="284" customWidth="1"/>
    <col min="6922" max="6922" width="11.140625" style="284" customWidth="1"/>
    <col min="6923" max="6923" width="19.140625" style="284" customWidth="1"/>
    <col min="6924" max="6924" width="17.85546875" style="284" customWidth="1"/>
    <col min="6925" max="6925" width="14.5703125" style="284" customWidth="1"/>
    <col min="6926" max="6926" width="15.7109375" style="284" customWidth="1"/>
    <col min="6927" max="6927" width="16.85546875" style="284" customWidth="1"/>
    <col min="6928" max="6928" width="17.85546875" style="284" customWidth="1"/>
    <col min="6929" max="6929" width="16.5703125" style="284" customWidth="1"/>
    <col min="6930" max="6930" width="17" style="284" customWidth="1"/>
    <col min="6931" max="6931" width="11.140625" style="284" customWidth="1"/>
    <col min="6932" max="6932" width="11" style="284" customWidth="1"/>
    <col min="6933" max="6940" width="0" style="284" hidden="1" customWidth="1"/>
    <col min="6941" max="7168" width="9.140625" style="284"/>
    <col min="7169" max="7169" width="5" style="284" customWidth="1"/>
    <col min="7170" max="7170" width="46.85546875" style="284" customWidth="1"/>
    <col min="7171" max="7171" width="10.7109375" style="284" customWidth="1"/>
    <col min="7172" max="7172" width="11.5703125" style="284" customWidth="1"/>
    <col min="7173" max="7173" width="10.7109375" style="284" customWidth="1"/>
    <col min="7174" max="7174" width="11.7109375" style="284" customWidth="1"/>
    <col min="7175" max="7175" width="13.5703125" style="284" customWidth="1"/>
    <col min="7176" max="7177" width="16.42578125" style="284" customWidth="1"/>
    <col min="7178" max="7178" width="11.140625" style="284" customWidth="1"/>
    <col min="7179" max="7179" width="19.140625" style="284" customWidth="1"/>
    <col min="7180" max="7180" width="17.85546875" style="284" customWidth="1"/>
    <col min="7181" max="7181" width="14.5703125" style="284" customWidth="1"/>
    <col min="7182" max="7182" width="15.7109375" style="284" customWidth="1"/>
    <col min="7183" max="7183" width="16.85546875" style="284" customWidth="1"/>
    <col min="7184" max="7184" width="17.85546875" style="284" customWidth="1"/>
    <col min="7185" max="7185" width="16.5703125" style="284" customWidth="1"/>
    <col min="7186" max="7186" width="17" style="284" customWidth="1"/>
    <col min="7187" max="7187" width="11.140625" style="284" customWidth="1"/>
    <col min="7188" max="7188" width="11" style="284" customWidth="1"/>
    <col min="7189" max="7196" width="0" style="284" hidden="1" customWidth="1"/>
    <col min="7197" max="7424" width="9.140625" style="284"/>
    <col min="7425" max="7425" width="5" style="284" customWidth="1"/>
    <col min="7426" max="7426" width="46.85546875" style="284" customWidth="1"/>
    <col min="7427" max="7427" width="10.7109375" style="284" customWidth="1"/>
    <col min="7428" max="7428" width="11.5703125" style="284" customWidth="1"/>
    <col min="7429" max="7429" width="10.7109375" style="284" customWidth="1"/>
    <col min="7430" max="7430" width="11.7109375" style="284" customWidth="1"/>
    <col min="7431" max="7431" width="13.5703125" style="284" customWidth="1"/>
    <col min="7432" max="7433" width="16.42578125" style="284" customWidth="1"/>
    <col min="7434" max="7434" width="11.140625" style="284" customWidth="1"/>
    <col min="7435" max="7435" width="19.140625" style="284" customWidth="1"/>
    <col min="7436" max="7436" width="17.85546875" style="284" customWidth="1"/>
    <col min="7437" max="7437" width="14.5703125" style="284" customWidth="1"/>
    <col min="7438" max="7438" width="15.7109375" style="284" customWidth="1"/>
    <col min="7439" max="7439" width="16.85546875" style="284" customWidth="1"/>
    <col min="7440" max="7440" width="17.85546875" style="284" customWidth="1"/>
    <col min="7441" max="7441" width="16.5703125" style="284" customWidth="1"/>
    <col min="7442" max="7442" width="17" style="284" customWidth="1"/>
    <col min="7443" max="7443" width="11.140625" style="284" customWidth="1"/>
    <col min="7444" max="7444" width="11" style="284" customWidth="1"/>
    <col min="7445" max="7452" width="0" style="284" hidden="1" customWidth="1"/>
    <col min="7453" max="7680" width="9.140625" style="284"/>
    <col min="7681" max="7681" width="5" style="284" customWidth="1"/>
    <col min="7682" max="7682" width="46.85546875" style="284" customWidth="1"/>
    <col min="7683" max="7683" width="10.7109375" style="284" customWidth="1"/>
    <col min="7684" max="7684" width="11.5703125" style="284" customWidth="1"/>
    <col min="7685" max="7685" width="10.7109375" style="284" customWidth="1"/>
    <col min="7686" max="7686" width="11.7109375" style="284" customWidth="1"/>
    <col min="7687" max="7687" width="13.5703125" style="284" customWidth="1"/>
    <col min="7688" max="7689" width="16.42578125" style="284" customWidth="1"/>
    <col min="7690" max="7690" width="11.140625" style="284" customWidth="1"/>
    <col min="7691" max="7691" width="19.140625" style="284" customWidth="1"/>
    <col min="7692" max="7692" width="17.85546875" style="284" customWidth="1"/>
    <col min="7693" max="7693" width="14.5703125" style="284" customWidth="1"/>
    <col min="7694" max="7694" width="15.7109375" style="284" customWidth="1"/>
    <col min="7695" max="7695" width="16.85546875" style="284" customWidth="1"/>
    <col min="7696" max="7696" width="17.85546875" style="284" customWidth="1"/>
    <col min="7697" max="7697" width="16.5703125" style="284" customWidth="1"/>
    <col min="7698" max="7698" width="17" style="284" customWidth="1"/>
    <col min="7699" max="7699" width="11.140625" style="284" customWidth="1"/>
    <col min="7700" max="7700" width="11" style="284" customWidth="1"/>
    <col min="7701" max="7708" width="0" style="284" hidden="1" customWidth="1"/>
    <col min="7709" max="7936" width="9.140625" style="284"/>
    <col min="7937" max="7937" width="5" style="284" customWidth="1"/>
    <col min="7938" max="7938" width="46.85546875" style="284" customWidth="1"/>
    <col min="7939" max="7939" width="10.7109375" style="284" customWidth="1"/>
    <col min="7940" max="7940" width="11.5703125" style="284" customWidth="1"/>
    <col min="7941" max="7941" width="10.7109375" style="284" customWidth="1"/>
    <col min="7942" max="7942" width="11.7109375" style="284" customWidth="1"/>
    <col min="7943" max="7943" width="13.5703125" style="284" customWidth="1"/>
    <col min="7944" max="7945" width="16.42578125" style="284" customWidth="1"/>
    <col min="7946" max="7946" width="11.140625" style="284" customWidth="1"/>
    <col min="7947" max="7947" width="19.140625" style="284" customWidth="1"/>
    <col min="7948" max="7948" width="17.85546875" style="284" customWidth="1"/>
    <col min="7949" max="7949" width="14.5703125" style="284" customWidth="1"/>
    <col min="7950" max="7950" width="15.7109375" style="284" customWidth="1"/>
    <col min="7951" max="7951" width="16.85546875" style="284" customWidth="1"/>
    <col min="7952" max="7952" width="17.85546875" style="284" customWidth="1"/>
    <col min="7953" max="7953" width="16.5703125" style="284" customWidth="1"/>
    <col min="7954" max="7954" width="17" style="284" customWidth="1"/>
    <col min="7955" max="7955" width="11.140625" style="284" customWidth="1"/>
    <col min="7956" max="7956" width="11" style="284" customWidth="1"/>
    <col min="7957" max="7964" width="0" style="284" hidden="1" customWidth="1"/>
    <col min="7965" max="8192" width="9.140625" style="284"/>
    <col min="8193" max="8193" width="5" style="284" customWidth="1"/>
    <col min="8194" max="8194" width="46.85546875" style="284" customWidth="1"/>
    <col min="8195" max="8195" width="10.7109375" style="284" customWidth="1"/>
    <col min="8196" max="8196" width="11.5703125" style="284" customWidth="1"/>
    <col min="8197" max="8197" width="10.7109375" style="284" customWidth="1"/>
    <col min="8198" max="8198" width="11.7109375" style="284" customWidth="1"/>
    <col min="8199" max="8199" width="13.5703125" style="284" customWidth="1"/>
    <col min="8200" max="8201" width="16.42578125" style="284" customWidth="1"/>
    <col min="8202" max="8202" width="11.140625" style="284" customWidth="1"/>
    <col min="8203" max="8203" width="19.140625" style="284" customWidth="1"/>
    <col min="8204" max="8204" width="17.85546875" style="284" customWidth="1"/>
    <col min="8205" max="8205" width="14.5703125" style="284" customWidth="1"/>
    <col min="8206" max="8206" width="15.7109375" style="284" customWidth="1"/>
    <col min="8207" max="8207" width="16.85546875" style="284" customWidth="1"/>
    <col min="8208" max="8208" width="17.85546875" style="284" customWidth="1"/>
    <col min="8209" max="8209" width="16.5703125" style="284" customWidth="1"/>
    <col min="8210" max="8210" width="17" style="284" customWidth="1"/>
    <col min="8211" max="8211" width="11.140625" style="284" customWidth="1"/>
    <col min="8212" max="8212" width="11" style="284" customWidth="1"/>
    <col min="8213" max="8220" width="0" style="284" hidden="1" customWidth="1"/>
    <col min="8221" max="8448" width="9.140625" style="284"/>
    <col min="8449" max="8449" width="5" style="284" customWidth="1"/>
    <col min="8450" max="8450" width="46.85546875" style="284" customWidth="1"/>
    <col min="8451" max="8451" width="10.7109375" style="284" customWidth="1"/>
    <col min="8452" max="8452" width="11.5703125" style="284" customWidth="1"/>
    <col min="8453" max="8453" width="10.7109375" style="284" customWidth="1"/>
    <col min="8454" max="8454" width="11.7109375" style="284" customWidth="1"/>
    <col min="8455" max="8455" width="13.5703125" style="284" customWidth="1"/>
    <col min="8456" max="8457" width="16.42578125" style="284" customWidth="1"/>
    <col min="8458" max="8458" width="11.140625" style="284" customWidth="1"/>
    <col min="8459" max="8459" width="19.140625" style="284" customWidth="1"/>
    <col min="8460" max="8460" width="17.85546875" style="284" customWidth="1"/>
    <col min="8461" max="8461" width="14.5703125" style="284" customWidth="1"/>
    <col min="8462" max="8462" width="15.7109375" style="284" customWidth="1"/>
    <col min="8463" max="8463" width="16.85546875" style="284" customWidth="1"/>
    <col min="8464" max="8464" width="17.85546875" style="284" customWidth="1"/>
    <col min="8465" max="8465" width="16.5703125" style="284" customWidth="1"/>
    <col min="8466" max="8466" width="17" style="284" customWidth="1"/>
    <col min="8467" max="8467" width="11.140625" style="284" customWidth="1"/>
    <col min="8468" max="8468" width="11" style="284" customWidth="1"/>
    <col min="8469" max="8476" width="0" style="284" hidden="1" customWidth="1"/>
    <col min="8477" max="8704" width="9.140625" style="284"/>
    <col min="8705" max="8705" width="5" style="284" customWidth="1"/>
    <col min="8706" max="8706" width="46.85546875" style="284" customWidth="1"/>
    <col min="8707" max="8707" width="10.7109375" style="284" customWidth="1"/>
    <col min="8708" max="8708" width="11.5703125" style="284" customWidth="1"/>
    <col min="8709" max="8709" width="10.7109375" style="284" customWidth="1"/>
    <col min="8710" max="8710" width="11.7109375" style="284" customWidth="1"/>
    <col min="8711" max="8711" width="13.5703125" style="284" customWidth="1"/>
    <col min="8712" max="8713" width="16.42578125" style="284" customWidth="1"/>
    <col min="8714" max="8714" width="11.140625" style="284" customWidth="1"/>
    <col min="8715" max="8715" width="19.140625" style="284" customWidth="1"/>
    <col min="8716" max="8716" width="17.85546875" style="284" customWidth="1"/>
    <col min="8717" max="8717" width="14.5703125" style="284" customWidth="1"/>
    <col min="8718" max="8718" width="15.7109375" style="284" customWidth="1"/>
    <col min="8719" max="8719" width="16.85546875" style="284" customWidth="1"/>
    <col min="8720" max="8720" width="17.85546875" style="284" customWidth="1"/>
    <col min="8721" max="8721" width="16.5703125" style="284" customWidth="1"/>
    <col min="8722" max="8722" width="17" style="284" customWidth="1"/>
    <col min="8723" max="8723" width="11.140625" style="284" customWidth="1"/>
    <col min="8724" max="8724" width="11" style="284" customWidth="1"/>
    <col min="8725" max="8732" width="0" style="284" hidden="1" customWidth="1"/>
    <col min="8733" max="8960" width="9.140625" style="284"/>
    <col min="8961" max="8961" width="5" style="284" customWidth="1"/>
    <col min="8962" max="8962" width="46.85546875" style="284" customWidth="1"/>
    <col min="8963" max="8963" width="10.7109375" style="284" customWidth="1"/>
    <col min="8964" max="8964" width="11.5703125" style="284" customWidth="1"/>
    <col min="8965" max="8965" width="10.7109375" style="284" customWidth="1"/>
    <col min="8966" max="8966" width="11.7109375" style="284" customWidth="1"/>
    <col min="8967" max="8967" width="13.5703125" style="284" customWidth="1"/>
    <col min="8968" max="8969" width="16.42578125" style="284" customWidth="1"/>
    <col min="8970" max="8970" width="11.140625" style="284" customWidth="1"/>
    <col min="8971" max="8971" width="19.140625" style="284" customWidth="1"/>
    <col min="8972" max="8972" width="17.85546875" style="284" customWidth="1"/>
    <col min="8973" max="8973" width="14.5703125" style="284" customWidth="1"/>
    <col min="8974" max="8974" width="15.7109375" style="284" customWidth="1"/>
    <col min="8975" max="8975" width="16.85546875" style="284" customWidth="1"/>
    <col min="8976" max="8976" width="17.85546875" style="284" customWidth="1"/>
    <col min="8977" max="8977" width="16.5703125" style="284" customWidth="1"/>
    <col min="8978" max="8978" width="17" style="284" customWidth="1"/>
    <col min="8979" max="8979" width="11.140625" style="284" customWidth="1"/>
    <col min="8980" max="8980" width="11" style="284" customWidth="1"/>
    <col min="8981" max="8988" width="0" style="284" hidden="1" customWidth="1"/>
    <col min="8989" max="9216" width="9.140625" style="284"/>
    <col min="9217" max="9217" width="5" style="284" customWidth="1"/>
    <col min="9218" max="9218" width="46.85546875" style="284" customWidth="1"/>
    <col min="9219" max="9219" width="10.7109375" style="284" customWidth="1"/>
    <col min="9220" max="9220" width="11.5703125" style="284" customWidth="1"/>
    <col min="9221" max="9221" width="10.7109375" style="284" customWidth="1"/>
    <col min="9222" max="9222" width="11.7109375" style="284" customWidth="1"/>
    <col min="9223" max="9223" width="13.5703125" style="284" customWidth="1"/>
    <col min="9224" max="9225" width="16.42578125" style="284" customWidth="1"/>
    <col min="9226" max="9226" width="11.140625" style="284" customWidth="1"/>
    <col min="9227" max="9227" width="19.140625" style="284" customWidth="1"/>
    <col min="9228" max="9228" width="17.85546875" style="284" customWidth="1"/>
    <col min="9229" max="9229" width="14.5703125" style="284" customWidth="1"/>
    <col min="9230" max="9230" width="15.7109375" style="284" customWidth="1"/>
    <col min="9231" max="9231" width="16.85546875" style="284" customWidth="1"/>
    <col min="9232" max="9232" width="17.85546875" style="284" customWidth="1"/>
    <col min="9233" max="9233" width="16.5703125" style="284" customWidth="1"/>
    <col min="9234" max="9234" width="17" style="284" customWidth="1"/>
    <col min="9235" max="9235" width="11.140625" style="284" customWidth="1"/>
    <col min="9236" max="9236" width="11" style="284" customWidth="1"/>
    <col min="9237" max="9244" width="0" style="284" hidden="1" customWidth="1"/>
    <col min="9245" max="9472" width="9.140625" style="284"/>
    <col min="9473" max="9473" width="5" style="284" customWidth="1"/>
    <col min="9474" max="9474" width="46.85546875" style="284" customWidth="1"/>
    <col min="9475" max="9475" width="10.7109375" style="284" customWidth="1"/>
    <col min="9476" max="9476" width="11.5703125" style="284" customWidth="1"/>
    <col min="9477" max="9477" width="10.7109375" style="284" customWidth="1"/>
    <col min="9478" max="9478" width="11.7109375" style="284" customWidth="1"/>
    <col min="9479" max="9479" width="13.5703125" style="284" customWidth="1"/>
    <col min="9480" max="9481" width="16.42578125" style="284" customWidth="1"/>
    <col min="9482" max="9482" width="11.140625" style="284" customWidth="1"/>
    <col min="9483" max="9483" width="19.140625" style="284" customWidth="1"/>
    <col min="9484" max="9484" width="17.85546875" style="284" customWidth="1"/>
    <col min="9485" max="9485" width="14.5703125" style="284" customWidth="1"/>
    <col min="9486" max="9486" width="15.7109375" style="284" customWidth="1"/>
    <col min="9487" max="9487" width="16.85546875" style="284" customWidth="1"/>
    <col min="9488" max="9488" width="17.85546875" style="284" customWidth="1"/>
    <col min="9489" max="9489" width="16.5703125" style="284" customWidth="1"/>
    <col min="9490" max="9490" width="17" style="284" customWidth="1"/>
    <col min="9491" max="9491" width="11.140625" style="284" customWidth="1"/>
    <col min="9492" max="9492" width="11" style="284" customWidth="1"/>
    <col min="9493" max="9500" width="0" style="284" hidden="1" customWidth="1"/>
    <col min="9501" max="9728" width="9.140625" style="284"/>
    <col min="9729" max="9729" width="5" style="284" customWidth="1"/>
    <col min="9730" max="9730" width="46.85546875" style="284" customWidth="1"/>
    <col min="9731" max="9731" width="10.7109375" style="284" customWidth="1"/>
    <col min="9732" max="9732" width="11.5703125" style="284" customWidth="1"/>
    <col min="9733" max="9733" width="10.7109375" style="284" customWidth="1"/>
    <col min="9734" max="9734" width="11.7109375" style="284" customWidth="1"/>
    <col min="9735" max="9735" width="13.5703125" style="284" customWidth="1"/>
    <col min="9736" max="9737" width="16.42578125" style="284" customWidth="1"/>
    <col min="9738" max="9738" width="11.140625" style="284" customWidth="1"/>
    <col min="9739" max="9739" width="19.140625" style="284" customWidth="1"/>
    <col min="9740" max="9740" width="17.85546875" style="284" customWidth="1"/>
    <col min="9741" max="9741" width="14.5703125" style="284" customWidth="1"/>
    <col min="9742" max="9742" width="15.7109375" style="284" customWidth="1"/>
    <col min="9743" max="9743" width="16.85546875" style="284" customWidth="1"/>
    <col min="9744" max="9744" width="17.85546875" style="284" customWidth="1"/>
    <col min="9745" max="9745" width="16.5703125" style="284" customWidth="1"/>
    <col min="9746" max="9746" width="17" style="284" customWidth="1"/>
    <col min="9747" max="9747" width="11.140625" style="284" customWidth="1"/>
    <col min="9748" max="9748" width="11" style="284" customWidth="1"/>
    <col min="9749" max="9756" width="0" style="284" hidden="1" customWidth="1"/>
    <col min="9757" max="9984" width="9.140625" style="284"/>
    <col min="9985" max="9985" width="5" style="284" customWidth="1"/>
    <col min="9986" max="9986" width="46.85546875" style="284" customWidth="1"/>
    <col min="9987" max="9987" width="10.7109375" style="284" customWidth="1"/>
    <col min="9988" max="9988" width="11.5703125" style="284" customWidth="1"/>
    <col min="9989" max="9989" width="10.7109375" style="284" customWidth="1"/>
    <col min="9990" max="9990" width="11.7109375" style="284" customWidth="1"/>
    <col min="9991" max="9991" width="13.5703125" style="284" customWidth="1"/>
    <col min="9992" max="9993" width="16.42578125" style="284" customWidth="1"/>
    <col min="9994" max="9994" width="11.140625" style="284" customWidth="1"/>
    <col min="9995" max="9995" width="19.140625" style="284" customWidth="1"/>
    <col min="9996" max="9996" width="17.85546875" style="284" customWidth="1"/>
    <col min="9997" max="9997" width="14.5703125" style="284" customWidth="1"/>
    <col min="9998" max="9998" width="15.7109375" style="284" customWidth="1"/>
    <col min="9999" max="9999" width="16.85546875" style="284" customWidth="1"/>
    <col min="10000" max="10000" width="17.85546875" style="284" customWidth="1"/>
    <col min="10001" max="10001" width="16.5703125" style="284" customWidth="1"/>
    <col min="10002" max="10002" width="17" style="284" customWidth="1"/>
    <col min="10003" max="10003" width="11.140625" style="284" customWidth="1"/>
    <col min="10004" max="10004" width="11" style="284" customWidth="1"/>
    <col min="10005" max="10012" width="0" style="284" hidden="1" customWidth="1"/>
    <col min="10013" max="10240" width="9.140625" style="284"/>
    <col min="10241" max="10241" width="5" style="284" customWidth="1"/>
    <col min="10242" max="10242" width="46.85546875" style="284" customWidth="1"/>
    <col min="10243" max="10243" width="10.7109375" style="284" customWidth="1"/>
    <col min="10244" max="10244" width="11.5703125" style="284" customWidth="1"/>
    <col min="10245" max="10245" width="10.7109375" style="284" customWidth="1"/>
    <col min="10246" max="10246" width="11.7109375" style="284" customWidth="1"/>
    <col min="10247" max="10247" width="13.5703125" style="284" customWidth="1"/>
    <col min="10248" max="10249" width="16.42578125" style="284" customWidth="1"/>
    <col min="10250" max="10250" width="11.140625" style="284" customWidth="1"/>
    <col min="10251" max="10251" width="19.140625" style="284" customWidth="1"/>
    <col min="10252" max="10252" width="17.85546875" style="284" customWidth="1"/>
    <col min="10253" max="10253" width="14.5703125" style="284" customWidth="1"/>
    <col min="10254" max="10254" width="15.7109375" style="284" customWidth="1"/>
    <col min="10255" max="10255" width="16.85546875" style="284" customWidth="1"/>
    <col min="10256" max="10256" width="17.85546875" style="284" customWidth="1"/>
    <col min="10257" max="10257" width="16.5703125" style="284" customWidth="1"/>
    <col min="10258" max="10258" width="17" style="284" customWidth="1"/>
    <col min="10259" max="10259" width="11.140625" style="284" customWidth="1"/>
    <col min="10260" max="10260" width="11" style="284" customWidth="1"/>
    <col min="10261" max="10268" width="0" style="284" hidden="1" customWidth="1"/>
    <col min="10269" max="10496" width="9.140625" style="284"/>
    <col min="10497" max="10497" width="5" style="284" customWidth="1"/>
    <col min="10498" max="10498" width="46.85546875" style="284" customWidth="1"/>
    <col min="10499" max="10499" width="10.7109375" style="284" customWidth="1"/>
    <col min="10500" max="10500" width="11.5703125" style="284" customWidth="1"/>
    <col min="10501" max="10501" width="10.7109375" style="284" customWidth="1"/>
    <col min="10502" max="10502" width="11.7109375" style="284" customWidth="1"/>
    <col min="10503" max="10503" width="13.5703125" style="284" customWidth="1"/>
    <col min="10504" max="10505" width="16.42578125" style="284" customWidth="1"/>
    <col min="10506" max="10506" width="11.140625" style="284" customWidth="1"/>
    <col min="10507" max="10507" width="19.140625" style="284" customWidth="1"/>
    <col min="10508" max="10508" width="17.85546875" style="284" customWidth="1"/>
    <col min="10509" max="10509" width="14.5703125" style="284" customWidth="1"/>
    <col min="10510" max="10510" width="15.7109375" style="284" customWidth="1"/>
    <col min="10511" max="10511" width="16.85546875" style="284" customWidth="1"/>
    <col min="10512" max="10512" width="17.85546875" style="284" customWidth="1"/>
    <col min="10513" max="10513" width="16.5703125" style="284" customWidth="1"/>
    <col min="10514" max="10514" width="17" style="284" customWidth="1"/>
    <col min="10515" max="10515" width="11.140625" style="284" customWidth="1"/>
    <col min="10516" max="10516" width="11" style="284" customWidth="1"/>
    <col min="10517" max="10524" width="0" style="284" hidden="1" customWidth="1"/>
    <col min="10525" max="10752" width="9.140625" style="284"/>
    <col min="10753" max="10753" width="5" style="284" customWidth="1"/>
    <col min="10754" max="10754" width="46.85546875" style="284" customWidth="1"/>
    <col min="10755" max="10755" width="10.7109375" style="284" customWidth="1"/>
    <col min="10756" max="10756" width="11.5703125" style="284" customWidth="1"/>
    <col min="10757" max="10757" width="10.7109375" style="284" customWidth="1"/>
    <col min="10758" max="10758" width="11.7109375" style="284" customWidth="1"/>
    <col min="10759" max="10759" width="13.5703125" style="284" customWidth="1"/>
    <col min="10760" max="10761" width="16.42578125" style="284" customWidth="1"/>
    <col min="10762" max="10762" width="11.140625" style="284" customWidth="1"/>
    <col min="10763" max="10763" width="19.140625" style="284" customWidth="1"/>
    <col min="10764" max="10764" width="17.85546875" style="284" customWidth="1"/>
    <col min="10765" max="10765" width="14.5703125" style="284" customWidth="1"/>
    <col min="10766" max="10766" width="15.7109375" style="284" customWidth="1"/>
    <col min="10767" max="10767" width="16.85546875" style="284" customWidth="1"/>
    <col min="10768" max="10768" width="17.85546875" style="284" customWidth="1"/>
    <col min="10769" max="10769" width="16.5703125" style="284" customWidth="1"/>
    <col min="10770" max="10770" width="17" style="284" customWidth="1"/>
    <col min="10771" max="10771" width="11.140625" style="284" customWidth="1"/>
    <col min="10772" max="10772" width="11" style="284" customWidth="1"/>
    <col min="10773" max="10780" width="0" style="284" hidden="1" customWidth="1"/>
    <col min="10781" max="11008" width="9.140625" style="284"/>
    <col min="11009" max="11009" width="5" style="284" customWidth="1"/>
    <col min="11010" max="11010" width="46.85546875" style="284" customWidth="1"/>
    <col min="11011" max="11011" width="10.7109375" style="284" customWidth="1"/>
    <col min="11012" max="11012" width="11.5703125" style="284" customWidth="1"/>
    <col min="11013" max="11013" width="10.7109375" style="284" customWidth="1"/>
    <col min="11014" max="11014" width="11.7109375" style="284" customWidth="1"/>
    <col min="11015" max="11015" width="13.5703125" style="284" customWidth="1"/>
    <col min="11016" max="11017" width="16.42578125" style="284" customWidth="1"/>
    <col min="11018" max="11018" width="11.140625" style="284" customWidth="1"/>
    <col min="11019" max="11019" width="19.140625" style="284" customWidth="1"/>
    <col min="11020" max="11020" width="17.85546875" style="284" customWidth="1"/>
    <col min="11021" max="11021" width="14.5703125" style="284" customWidth="1"/>
    <col min="11022" max="11022" width="15.7109375" style="284" customWidth="1"/>
    <col min="11023" max="11023" width="16.85546875" style="284" customWidth="1"/>
    <col min="11024" max="11024" width="17.85546875" style="284" customWidth="1"/>
    <col min="11025" max="11025" width="16.5703125" style="284" customWidth="1"/>
    <col min="11026" max="11026" width="17" style="284" customWidth="1"/>
    <col min="11027" max="11027" width="11.140625" style="284" customWidth="1"/>
    <col min="11028" max="11028" width="11" style="284" customWidth="1"/>
    <col min="11029" max="11036" width="0" style="284" hidden="1" customWidth="1"/>
    <col min="11037" max="11264" width="9.140625" style="284"/>
    <col min="11265" max="11265" width="5" style="284" customWidth="1"/>
    <col min="11266" max="11266" width="46.85546875" style="284" customWidth="1"/>
    <col min="11267" max="11267" width="10.7109375" style="284" customWidth="1"/>
    <col min="11268" max="11268" width="11.5703125" style="284" customWidth="1"/>
    <col min="11269" max="11269" width="10.7109375" style="284" customWidth="1"/>
    <col min="11270" max="11270" width="11.7109375" style="284" customWidth="1"/>
    <col min="11271" max="11271" width="13.5703125" style="284" customWidth="1"/>
    <col min="11272" max="11273" width="16.42578125" style="284" customWidth="1"/>
    <col min="11274" max="11274" width="11.140625" style="284" customWidth="1"/>
    <col min="11275" max="11275" width="19.140625" style="284" customWidth="1"/>
    <col min="11276" max="11276" width="17.85546875" style="284" customWidth="1"/>
    <col min="11277" max="11277" width="14.5703125" style="284" customWidth="1"/>
    <col min="11278" max="11278" width="15.7109375" style="284" customWidth="1"/>
    <col min="11279" max="11279" width="16.85546875" style="284" customWidth="1"/>
    <col min="11280" max="11280" width="17.85546875" style="284" customWidth="1"/>
    <col min="11281" max="11281" width="16.5703125" style="284" customWidth="1"/>
    <col min="11282" max="11282" width="17" style="284" customWidth="1"/>
    <col min="11283" max="11283" width="11.140625" style="284" customWidth="1"/>
    <col min="11284" max="11284" width="11" style="284" customWidth="1"/>
    <col min="11285" max="11292" width="0" style="284" hidden="1" customWidth="1"/>
    <col min="11293" max="11520" width="9.140625" style="284"/>
    <col min="11521" max="11521" width="5" style="284" customWidth="1"/>
    <col min="11522" max="11522" width="46.85546875" style="284" customWidth="1"/>
    <col min="11523" max="11523" width="10.7109375" style="284" customWidth="1"/>
    <col min="11524" max="11524" width="11.5703125" style="284" customWidth="1"/>
    <col min="11525" max="11525" width="10.7109375" style="284" customWidth="1"/>
    <col min="11526" max="11526" width="11.7109375" style="284" customWidth="1"/>
    <col min="11527" max="11527" width="13.5703125" style="284" customWidth="1"/>
    <col min="11528" max="11529" width="16.42578125" style="284" customWidth="1"/>
    <col min="11530" max="11530" width="11.140625" style="284" customWidth="1"/>
    <col min="11531" max="11531" width="19.140625" style="284" customWidth="1"/>
    <col min="11532" max="11532" width="17.85546875" style="284" customWidth="1"/>
    <col min="11533" max="11533" width="14.5703125" style="284" customWidth="1"/>
    <col min="11534" max="11534" width="15.7109375" style="284" customWidth="1"/>
    <col min="11535" max="11535" width="16.85546875" style="284" customWidth="1"/>
    <col min="11536" max="11536" width="17.85546875" style="284" customWidth="1"/>
    <col min="11537" max="11537" width="16.5703125" style="284" customWidth="1"/>
    <col min="11538" max="11538" width="17" style="284" customWidth="1"/>
    <col min="11539" max="11539" width="11.140625" style="284" customWidth="1"/>
    <col min="11540" max="11540" width="11" style="284" customWidth="1"/>
    <col min="11541" max="11548" width="0" style="284" hidden="1" customWidth="1"/>
    <col min="11549" max="11776" width="9.140625" style="284"/>
    <col min="11777" max="11777" width="5" style="284" customWidth="1"/>
    <col min="11778" max="11778" width="46.85546875" style="284" customWidth="1"/>
    <col min="11779" max="11779" width="10.7109375" style="284" customWidth="1"/>
    <col min="11780" max="11780" width="11.5703125" style="284" customWidth="1"/>
    <col min="11781" max="11781" width="10.7109375" style="284" customWidth="1"/>
    <col min="11782" max="11782" width="11.7109375" style="284" customWidth="1"/>
    <col min="11783" max="11783" width="13.5703125" style="284" customWidth="1"/>
    <col min="11784" max="11785" width="16.42578125" style="284" customWidth="1"/>
    <col min="11786" max="11786" width="11.140625" style="284" customWidth="1"/>
    <col min="11787" max="11787" width="19.140625" style="284" customWidth="1"/>
    <col min="11788" max="11788" width="17.85546875" style="284" customWidth="1"/>
    <col min="11789" max="11789" width="14.5703125" style="284" customWidth="1"/>
    <col min="11790" max="11790" width="15.7109375" style="284" customWidth="1"/>
    <col min="11791" max="11791" width="16.85546875" style="284" customWidth="1"/>
    <col min="11792" max="11792" width="17.85546875" style="284" customWidth="1"/>
    <col min="11793" max="11793" width="16.5703125" style="284" customWidth="1"/>
    <col min="11794" max="11794" width="17" style="284" customWidth="1"/>
    <col min="11795" max="11795" width="11.140625" style="284" customWidth="1"/>
    <col min="11796" max="11796" width="11" style="284" customWidth="1"/>
    <col min="11797" max="11804" width="0" style="284" hidden="1" customWidth="1"/>
    <col min="11805" max="12032" width="9.140625" style="284"/>
    <col min="12033" max="12033" width="5" style="284" customWidth="1"/>
    <col min="12034" max="12034" width="46.85546875" style="284" customWidth="1"/>
    <col min="12035" max="12035" width="10.7109375" style="284" customWidth="1"/>
    <col min="12036" max="12036" width="11.5703125" style="284" customWidth="1"/>
    <col min="12037" max="12037" width="10.7109375" style="284" customWidth="1"/>
    <col min="12038" max="12038" width="11.7109375" style="284" customWidth="1"/>
    <col min="12039" max="12039" width="13.5703125" style="284" customWidth="1"/>
    <col min="12040" max="12041" width="16.42578125" style="284" customWidth="1"/>
    <col min="12042" max="12042" width="11.140625" style="284" customWidth="1"/>
    <col min="12043" max="12043" width="19.140625" style="284" customWidth="1"/>
    <col min="12044" max="12044" width="17.85546875" style="284" customWidth="1"/>
    <col min="12045" max="12045" width="14.5703125" style="284" customWidth="1"/>
    <col min="12046" max="12046" width="15.7109375" style="284" customWidth="1"/>
    <col min="12047" max="12047" width="16.85546875" style="284" customWidth="1"/>
    <col min="12048" max="12048" width="17.85546875" style="284" customWidth="1"/>
    <col min="12049" max="12049" width="16.5703125" style="284" customWidth="1"/>
    <col min="12050" max="12050" width="17" style="284" customWidth="1"/>
    <col min="12051" max="12051" width="11.140625" style="284" customWidth="1"/>
    <col min="12052" max="12052" width="11" style="284" customWidth="1"/>
    <col min="12053" max="12060" width="0" style="284" hidden="1" customWidth="1"/>
    <col min="12061" max="12288" width="9.140625" style="284"/>
    <col min="12289" max="12289" width="5" style="284" customWidth="1"/>
    <col min="12290" max="12290" width="46.85546875" style="284" customWidth="1"/>
    <col min="12291" max="12291" width="10.7109375" style="284" customWidth="1"/>
    <col min="12292" max="12292" width="11.5703125" style="284" customWidth="1"/>
    <col min="12293" max="12293" width="10.7109375" style="284" customWidth="1"/>
    <col min="12294" max="12294" width="11.7109375" style="284" customWidth="1"/>
    <col min="12295" max="12295" width="13.5703125" style="284" customWidth="1"/>
    <col min="12296" max="12297" width="16.42578125" style="284" customWidth="1"/>
    <col min="12298" max="12298" width="11.140625" style="284" customWidth="1"/>
    <col min="12299" max="12299" width="19.140625" style="284" customWidth="1"/>
    <col min="12300" max="12300" width="17.85546875" style="284" customWidth="1"/>
    <col min="12301" max="12301" width="14.5703125" style="284" customWidth="1"/>
    <col min="12302" max="12302" width="15.7109375" style="284" customWidth="1"/>
    <col min="12303" max="12303" width="16.85546875" style="284" customWidth="1"/>
    <col min="12304" max="12304" width="17.85546875" style="284" customWidth="1"/>
    <col min="12305" max="12305" width="16.5703125" style="284" customWidth="1"/>
    <col min="12306" max="12306" width="17" style="284" customWidth="1"/>
    <col min="12307" max="12307" width="11.140625" style="284" customWidth="1"/>
    <col min="12308" max="12308" width="11" style="284" customWidth="1"/>
    <col min="12309" max="12316" width="0" style="284" hidden="1" customWidth="1"/>
    <col min="12317" max="12544" width="9.140625" style="284"/>
    <col min="12545" max="12545" width="5" style="284" customWidth="1"/>
    <col min="12546" max="12546" width="46.85546875" style="284" customWidth="1"/>
    <col min="12547" max="12547" width="10.7109375" style="284" customWidth="1"/>
    <col min="12548" max="12548" width="11.5703125" style="284" customWidth="1"/>
    <col min="12549" max="12549" width="10.7109375" style="284" customWidth="1"/>
    <col min="12550" max="12550" width="11.7109375" style="284" customWidth="1"/>
    <col min="12551" max="12551" width="13.5703125" style="284" customWidth="1"/>
    <col min="12552" max="12553" width="16.42578125" style="284" customWidth="1"/>
    <col min="12554" max="12554" width="11.140625" style="284" customWidth="1"/>
    <col min="12555" max="12555" width="19.140625" style="284" customWidth="1"/>
    <col min="12556" max="12556" width="17.85546875" style="284" customWidth="1"/>
    <col min="12557" max="12557" width="14.5703125" style="284" customWidth="1"/>
    <col min="12558" max="12558" width="15.7109375" style="284" customWidth="1"/>
    <col min="12559" max="12559" width="16.85546875" style="284" customWidth="1"/>
    <col min="12560" max="12560" width="17.85546875" style="284" customWidth="1"/>
    <col min="12561" max="12561" width="16.5703125" style="284" customWidth="1"/>
    <col min="12562" max="12562" width="17" style="284" customWidth="1"/>
    <col min="12563" max="12563" width="11.140625" style="284" customWidth="1"/>
    <col min="12564" max="12564" width="11" style="284" customWidth="1"/>
    <col min="12565" max="12572" width="0" style="284" hidden="1" customWidth="1"/>
    <col min="12573" max="12800" width="9.140625" style="284"/>
    <col min="12801" max="12801" width="5" style="284" customWidth="1"/>
    <col min="12802" max="12802" width="46.85546875" style="284" customWidth="1"/>
    <col min="12803" max="12803" width="10.7109375" style="284" customWidth="1"/>
    <col min="12804" max="12804" width="11.5703125" style="284" customWidth="1"/>
    <col min="12805" max="12805" width="10.7109375" style="284" customWidth="1"/>
    <col min="12806" max="12806" width="11.7109375" style="284" customWidth="1"/>
    <col min="12807" max="12807" width="13.5703125" style="284" customWidth="1"/>
    <col min="12808" max="12809" width="16.42578125" style="284" customWidth="1"/>
    <col min="12810" max="12810" width="11.140625" style="284" customWidth="1"/>
    <col min="12811" max="12811" width="19.140625" style="284" customWidth="1"/>
    <col min="12812" max="12812" width="17.85546875" style="284" customWidth="1"/>
    <col min="12813" max="12813" width="14.5703125" style="284" customWidth="1"/>
    <col min="12814" max="12814" width="15.7109375" style="284" customWidth="1"/>
    <col min="12815" max="12815" width="16.85546875" style="284" customWidth="1"/>
    <col min="12816" max="12816" width="17.85546875" style="284" customWidth="1"/>
    <col min="12817" max="12817" width="16.5703125" style="284" customWidth="1"/>
    <col min="12818" max="12818" width="17" style="284" customWidth="1"/>
    <col min="12819" max="12819" width="11.140625" style="284" customWidth="1"/>
    <col min="12820" max="12820" width="11" style="284" customWidth="1"/>
    <col min="12821" max="12828" width="0" style="284" hidden="1" customWidth="1"/>
    <col min="12829" max="13056" width="9.140625" style="284"/>
    <col min="13057" max="13057" width="5" style="284" customWidth="1"/>
    <col min="13058" max="13058" width="46.85546875" style="284" customWidth="1"/>
    <col min="13059" max="13059" width="10.7109375" style="284" customWidth="1"/>
    <col min="13060" max="13060" width="11.5703125" style="284" customWidth="1"/>
    <col min="13061" max="13061" width="10.7109375" style="284" customWidth="1"/>
    <col min="13062" max="13062" width="11.7109375" style="284" customWidth="1"/>
    <col min="13063" max="13063" width="13.5703125" style="284" customWidth="1"/>
    <col min="13064" max="13065" width="16.42578125" style="284" customWidth="1"/>
    <col min="13066" max="13066" width="11.140625" style="284" customWidth="1"/>
    <col min="13067" max="13067" width="19.140625" style="284" customWidth="1"/>
    <col min="13068" max="13068" width="17.85546875" style="284" customWidth="1"/>
    <col min="13069" max="13069" width="14.5703125" style="284" customWidth="1"/>
    <col min="13070" max="13070" width="15.7109375" style="284" customWidth="1"/>
    <col min="13071" max="13071" width="16.85546875" style="284" customWidth="1"/>
    <col min="13072" max="13072" width="17.85546875" style="284" customWidth="1"/>
    <col min="13073" max="13073" width="16.5703125" style="284" customWidth="1"/>
    <col min="13074" max="13074" width="17" style="284" customWidth="1"/>
    <col min="13075" max="13075" width="11.140625" style="284" customWidth="1"/>
    <col min="13076" max="13076" width="11" style="284" customWidth="1"/>
    <col min="13077" max="13084" width="0" style="284" hidden="1" customWidth="1"/>
    <col min="13085" max="13312" width="9.140625" style="284"/>
    <col min="13313" max="13313" width="5" style="284" customWidth="1"/>
    <col min="13314" max="13314" width="46.85546875" style="284" customWidth="1"/>
    <col min="13315" max="13315" width="10.7109375" style="284" customWidth="1"/>
    <col min="13316" max="13316" width="11.5703125" style="284" customWidth="1"/>
    <col min="13317" max="13317" width="10.7109375" style="284" customWidth="1"/>
    <col min="13318" max="13318" width="11.7109375" style="284" customWidth="1"/>
    <col min="13319" max="13319" width="13.5703125" style="284" customWidth="1"/>
    <col min="13320" max="13321" width="16.42578125" style="284" customWidth="1"/>
    <col min="13322" max="13322" width="11.140625" style="284" customWidth="1"/>
    <col min="13323" max="13323" width="19.140625" style="284" customWidth="1"/>
    <col min="13324" max="13324" width="17.85546875" style="284" customWidth="1"/>
    <col min="13325" max="13325" width="14.5703125" style="284" customWidth="1"/>
    <col min="13326" max="13326" width="15.7109375" style="284" customWidth="1"/>
    <col min="13327" max="13327" width="16.85546875" style="284" customWidth="1"/>
    <col min="13328" max="13328" width="17.85546875" style="284" customWidth="1"/>
    <col min="13329" max="13329" width="16.5703125" style="284" customWidth="1"/>
    <col min="13330" max="13330" width="17" style="284" customWidth="1"/>
    <col min="13331" max="13331" width="11.140625" style="284" customWidth="1"/>
    <col min="13332" max="13332" width="11" style="284" customWidth="1"/>
    <col min="13333" max="13340" width="0" style="284" hidden="1" customWidth="1"/>
    <col min="13341" max="13568" width="9.140625" style="284"/>
    <col min="13569" max="13569" width="5" style="284" customWidth="1"/>
    <col min="13570" max="13570" width="46.85546875" style="284" customWidth="1"/>
    <col min="13571" max="13571" width="10.7109375" style="284" customWidth="1"/>
    <col min="13572" max="13572" width="11.5703125" style="284" customWidth="1"/>
    <col min="13573" max="13573" width="10.7109375" style="284" customWidth="1"/>
    <col min="13574" max="13574" width="11.7109375" style="284" customWidth="1"/>
    <col min="13575" max="13575" width="13.5703125" style="284" customWidth="1"/>
    <col min="13576" max="13577" width="16.42578125" style="284" customWidth="1"/>
    <col min="13578" max="13578" width="11.140625" style="284" customWidth="1"/>
    <col min="13579" max="13579" width="19.140625" style="284" customWidth="1"/>
    <col min="13580" max="13580" width="17.85546875" style="284" customWidth="1"/>
    <col min="13581" max="13581" width="14.5703125" style="284" customWidth="1"/>
    <col min="13582" max="13582" width="15.7109375" style="284" customWidth="1"/>
    <col min="13583" max="13583" width="16.85546875" style="284" customWidth="1"/>
    <col min="13584" max="13584" width="17.85546875" style="284" customWidth="1"/>
    <col min="13585" max="13585" width="16.5703125" style="284" customWidth="1"/>
    <col min="13586" max="13586" width="17" style="284" customWidth="1"/>
    <col min="13587" max="13587" width="11.140625" style="284" customWidth="1"/>
    <col min="13588" max="13588" width="11" style="284" customWidth="1"/>
    <col min="13589" max="13596" width="0" style="284" hidden="1" customWidth="1"/>
    <col min="13597" max="13824" width="9.140625" style="284"/>
    <col min="13825" max="13825" width="5" style="284" customWidth="1"/>
    <col min="13826" max="13826" width="46.85546875" style="284" customWidth="1"/>
    <col min="13827" max="13827" width="10.7109375" style="284" customWidth="1"/>
    <col min="13828" max="13828" width="11.5703125" style="284" customWidth="1"/>
    <col min="13829" max="13829" width="10.7109375" style="284" customWidth="1"/>
    <col min="13830" max="13830" width="11.7109375" style="284" customWidth="1"/>
    <col min="13831" max="13831" width="13.5703125" style="284" customWidth="1"/>
    <col min="13832" max="13833" width="16.42578125" style="284" customWidth="1"/>
    <col min="13834" max="13834" width="11.140625" style="284" customWidth="1"/>
    <col min="13835" max="13835" width="19.140625" style="284" customWidth="1"/>
    <col min="13836" max="13836" width="17.85546875" style="284" customWidth="1"/>
    <col min="13837" max="13837" width="14.5703125" style="284" customWidth="1"/>
    <col min="13838" max="13838" width="15.7109375" style="284" customWidth="1"/>
    <col min="13839" max="13839" width="16.85546875" style="284" customWidth="1"/>
    <col min="13840" max="13840" width="17.85546875" style="284" customWidth="1"/>
    <col min="13841" max="13841" width="16.5703125" style="284" customWidth="1"/>
    <col min="13842" max="13842" width="17" style="284" customWidth="1"/>
    <col min="13843" max="13843" width="11.140625" style="284" customWidth="1"/>
    <col min="13844" max="13844" width="11" style="284" customWidth="1"/>
    <col min="13845" max="13852" width="0" style="284" hidden="1" customWidth="1"/>
    <col min="13853" max="14080" width="9.140625" style="284"/>
    <col min="14081" max="14081" width="5" style="284" customWidth="1"/>
    <col min="14082" max="14082" width="46.85546875" style="284" customWidth="1"/>
    <col min="14083" max="14083" width="10.7109375" style="284" customWidth="1"/>
    <col min="14084" max="14084" width="11.5703125" style="284" customWidth="1"/>
    <col min="14085" max="14085" width="10.7109375" style="284" customWidth="1"/>
    <col min="14086" max="14086" width="11.7109375" style="284" customWidth="1"/>
    <col min="14087" max="14087" width="13.5703125" style="284" customWidth="1"/>
    <col min="14088" max="14089" width="16.42578125" style="284" customWidth="1"/>
    <col min="14090" max="14090" width="11.140625" style="284" customWidth="1"/>
    <col min="14091" max="14091" width="19.140625" style="284" customWidth="1"/>
    <col min="14092" max="14092" width="17.85546875" style="284" customWidth="1"/>
    <col min="14093" max="14093" width="14.5703125" style="284" customWidth="1"/>
    <col min="14094" max="14094" width="15.7109375" style="284" customWidth="1"/>
    <col min="14095" max="14095" width="16.85546875" style="284" customWidth="1"/>
    <col min="14096" max="14096" width="17.85546875" style="284" customWidth="1"/>
    <col min="14097" max="14097" width="16.5703125" style="284" customWidth="1"/>
    <col min="14098" max="14098" width="17" style="284" customWidth="1"/>
    <col min="14099" max="14099" width="11.140625" style="284" customWidth="1"/>
    <col min="14100" max="14100" width="11" style="284" customWidth="1"/>
    <col min="14101" max="14108" width="0" style="284" hidden="1" customWidth="1"/>
    <col min="14109" max="14336" width="9.140625" style="284"/>
    <col min="14337" max="14337" width="5" style="284" customWidth="1"/>
    <col min="14338" max="14338" width="46.85546875" style="284" customWidth="1"/>
    <col min="14339" max="14339" width="10.7109375" style="284" customWidth="1"/>
    <col min="14340" max="14340" width="11.5703125" style="284" customWidth="1"/>
    <col min="14341" max="14341" width="10.7109375" style="284" customWidth="1"/>
    <col min="14342" max="14342" width="11.7109375" style="284" customWidth="1"/>
    <col min="14343" max="14343" width="13.5703125" style="284" customWidth="1"/>
    <col min="14344" max="14345" width="16.42578125" style="284" customWidth="1"/>
    <col min="14346" max="14346" width="11.140625" style="284" customWidth="1"/>
    <col min="14347" max="14347" width="19.140625" style="284" customWidth="1"/>
    <col min="14348" max="14348" width="17.85546875" style="284" customWidth="1"/>
    <col min="14349" max="14349" width="14.5703125" style="284" customWidth="1"/>
    <col min="14350" max="14350" width="15.7109375" style="284" customWidth="1"/>
    <col min="14351" max="14351" width="16.85546875" style="284" customWidth="1"/>
    <col min="14352" max="14352" width="17.85546875" style="284" customWidth="1"/>
    <col min="14353" max="14353" width="16.5703125" style="284" customWidth="1"/>
    <col min="14354" max="14354" width="17" style="284" customWidth="1"/>
    <col min="14355" max="14355" width="11.140625" style="284" customWidth="1"/>
    <col min="14356" max="14356" width="11" style="284" customWidth="1"/>
    <col min="14357" max="14364" width="0" style="284" hidden="1" customWidth="1"/>
    <col min="14365" max="14592" width="9.140625" style="284"/>
    <col min="14593" max="14593" width="5" style="284" customWidth="1"/>
    <col min="14594" max="14594" width="46.85546875" style="284" customWidth="1"/>
    <col min="14595" max="14595" width="10.7109375" style="284" customWidth="1"/>
    <col min="14596" max="14596" width="11.5703125" style="284" customWidth="1"/>
    <col min="14597" max="14597" width="10.7109375" style="284" customWidth="1"/>
    <col min="14598" max="14598" width="11.7109375" style="284" customWidth="1"/>
    <col min="14599" max="14599" width="13.5703125" style="284" customWidth="1"/>
    <col min="14600" max="14601" width="16.42578125" style="284" customWidth="1"/>
    <col min="14602" max="14602" width="11.140625" style="284" customWidth="1"/>
    <col min="14603" max="14603" width="19.140625" style="284" customWidth="1"/>
    <col min="14604" max="14604" width="17.85546875" style="284" customWidth="1"/>
    <col min="14605" max="14605" width="14.5703125" style="284" customWidth="1"/>
    <col min="14606" max="14606" width="15.7109375" style="284" customWidth="1"/>
    <col min="14607" max="14607" width="16.85546875" style="284" customWidth="1"/>
    <col min="14608" max="14608" width="17.85546875" style="284" customWidth="1"/>
    <col min="14609" max="14609" width="16.5703125" style="284" customWidth="1"/>
    <col min="14610" max="14610" width="17" style="284" customWidth="1"/>
    <col min="14611" max="14611" width="11.140625" style="284" customWidth="1"/>
    <col min="14612" max="14612" width="11" style="284" customWidth="1"/>
    <col min="14613" max="14620" width="0" style="284" hidden="1" customWidth="1"/>
    <col min="14621" max="14848" width="9.140625" style="284"/>
    <col min="14849" max="14849" width="5" style="284" customWidth="1"/>
    <col min="14850" max="14850" width="46.85546875" style="284" customWidth="1"/>
    <col min="14851" max="14851" width="10.7109375" style="284" customWidth="1"/>
    <col min="14852" max="14852" width="11.5703125" style="284" customWidth="1"/>
    <col min="14853" max="14853" width="10.7109375" style="284" customWidth="1"/>
    <col min="14854" max="14854" width="11.7109375" style="284" customWidth="1"/>
    <col min="14855" max="14855" width="13.5703125" style="284" customWidth="1"/>
    <col min="14856" max="14857" width="16.42578125" style="284" customWidth="1"/>
    <col min="14858" max="14858" width="11.140625" style="284" customWidth="1"/>
    <col min="14859" max="14859" width="19.140625" style="284" customWidth="1"/>
    <col min="14860" max="14860" width="17.85546875" style="284" customWidth="1"/>
    <col min="14861" max="14861" width="14.5703125" style="284" customWidth="1"/>
    <col min="14862" max="14862" width="15.7109375" style="284" customWidth="1"/>
    <col min="14863" max="14863" width="16.85546875" style="284" customWidth="1"/>
    <col min="14864" max="14864" width="17.85546875" style="284" customWidth="1"/>
    <col min="14865" max="14865" width="16.5703125" style="284" customWidth="1"/>
    <col min="14866" max="14866" width="17" style="284" customWidth="1"/>
    <col min="14867" max="14867" width="11.140625" style="284" customWidth="1"/>
    <col min="14868" max="14868" width="11" style="284" customWidth="1"/>
    <col min="14869" max="14876" width="0" style="284" hidden="1" customWidth="1"/>
    <col min="14877" max="15104" width="9.140625" style="284"/>
    <col min="15105" max="15105" width="5" style="284" customWidth="1"/>
    <col min="15106" max="15106" width="46.85546875" style="284" customWidth="1"/>
    <col min="15107" max="15107" width="10.7109375" style="284" customWidth="1"/>
    <col min="15108" max="15108" width="11.5703125" style="284" customWidth="1"/>
    <col min="15109" max="15109" width="10.7109375" style="284" customWidth="1"/>
    <col min="15110" max="15110" width="11.7109375" style="284" customWidth="1"/>
    <col min="15111" max="15111" width="13.5703125" style="284" customWidth="1"/>
    <col min="15112" max="15113" width="16.42578125" style="284" customWidth="1"/>
    <col min="15114" max="15114" width="11.140625" style="284" customWidth="1"/>
    <col min="15115" max="15115" width="19.140625" style="284" customWidth="1"/>
    <col min="15116" max="15116" width="17.85546875" style="284" customWidth="1"/>
    <col min="15117" max="15117" width="14.5703125" style="284" customWidth="1"/>
    <col min="15118" max="15118" width="15.7109375" style="284" customWidth="1"/>
    <col min="15119" max="15119" width="16.85546875" style="284" customWidth="1"/>
    <col min="15120" max="15120" width="17.85546875" style="284" customWidth="1"/>
    <col min="15121" max="15121" width="16.5703125" style="284" customWidth="1"/>
    <col min="15122" max="15122" width="17" style="284" customWidth="1"/>
    <col min="15123" max="15123" width="11.140625" style="284" customWidth="1"/>
    <col min="15124" max="15124" width="11" style="284" customWidth="1"/>
    <col min="15125" max="15132" width="0" style="284" hidden="1" customWidth="1"/>
    <col min="15133" max="15360" width="9.140625" style="284"/>
    <col min="15361" max="15361" width="5" style="284" customWidth="1"/>
    <col min="15362" max="15362" width="46.85546875" style="284" customWidth="1"/>
    <col min="15363" max="15363" width="10.7109375" style="284" customWidth="1"/>
    <col min="15364" max="15364" width="11.5703125" style="284" customWidth="1"/>
    <col min="15365" max="15365" width="10.7109375" style="284" customWidth="1"/>
    <col min="15366" max="15366" width="11.7109375" style="284" customWidth="1"/>
    <col min="15367" max="15367" width="13.5703125" style="284" customWidth="1"/>
    <col min="15368" max="15369" width="16.42578125" style="284" customWidth="1"/>
    <col min="15370" max="15370" width="11.140625" style="284" customWidth="1"/>
    <col min="15371" max="15371" width="19.140625" style="284" customWidth="1"/>
    <col min="15372" max="15372" width="17.85546875" style="284" customWidth="1"/>
    <col min="15373" max="15373" width="14.5703125" style="284" customWidth="1"/>
    <col min="15374" max="15374" width="15.7109375" style="284" customWidth="1"/>
    <col min="15375" max="15375" width="16.85546875" style="284" customWidth="1"/>
    <col min="15376" max="15376" width="17.85546875" style="284" customWidth="1"/>
    <col min="15377" max="15377" width="16.5703125" style="284" customWidth="1"/>
    <col min="15378" max="15378" width="17" style="284" customWidth="1"/>
    <col min="15379" max="15379" width="11.140625" style="284" customWidth="1"/>
    <col min="15380" max="15380" width="11" style="284" customWidth="1"/>
    <col min="15381" max="15388" width="0" style="284" hidden="1" customWidth="1"/>
    <col min="15389" max="15616" width="9.140625" style="284"/>
    <col min="15617" max="15617" width="5" style="284" customWidth="1"/>
    <col min="15618" max="15618" width="46.85546875" style="284" customWidth="1"/>
    <col min="15619" max="15619" width="10.7109375" style="284" customWidth="1"/>
    <col min="15620" max="15620" width="11.5703125" style="284" customWidth="1"/>
    <col min="15621" max="15621" width="10.7109375" style="284" customWidth="1"/>
    <col min="15622" max="15622" width="11.7109375" style="284" customWidth="1"/>
    <col min="15623" max="15623" width="13.5703125" style="284" customWidth="1"/>
    <col min="15624" max="15625" width="16.42578125" style="284" customWidth="1"/>
    <col min="15626" max="15626" width="11.140625" style="284" customWidth="1"/>
    <col min="15627" max="15627" width="19.140625" style="284" customWidth="1"/>
    <col min="15628" max="15628" width="17.85546875" style="284" customWidth="1"/>
    <col min="15629" max="15629" width="14.5703125" style="284" customWidth="1"/>
    <col min="15630" max="15630" width="15.7109375" style="284" customWidth="1"/>
    <col min="15631" max="15631" width="16.85546875" style="284" customWidth="1"/>
    <col min="15632" max="15632" width="17.85546875" style="284" customWidth="1"/>
    <col min="15633" max="15633" width="16.5703125" style="284" customWidth="1"/>
    <col min="15634" max="15634" width="17" style="284" customWidth="1"/>
    <col min="15635" max="15635" width="11.140625" style="284" customWidth="1"/>
    <col min="15636" max="15636" width="11" style="284" customWidth="1"/>
    <col min="15637" max="15644" width="0" style="284" hidden="1" customWidth="1"/>
    <col min="15645" max="15872" width="9.140625" style="284"/>
    <col min="15873" max="15873" width="5" style="284" customWidth="1"/>
    <col min="15874" max="15874" width="46.85546875" style="284" customWidth="1"/>
    <col min="15875" max="15875" width="10.7109375" style="284" customWidth="1"/>
    <col min="15876" max="15876" width="11.5703125" style="284" customWidth="1"/>
    <col min="15877" max="15877" width="10.7109375" style="284" customWidth="1"/>
    <col min="15878" max="15878" width="11.7109375" style="284" customWidth="1"/>
    <col min="15879" max="15879" width="13.5703125" style="284" customWidth="1"/>
    <col min="15880" max="15881" width="16.42578125" style="284" customWidth="1"/>
    <col min="15882" max="15882" width="11.140625" style="284" customWidth="1"/>
    <col min="15883" max="15883" width="19.140625" style="284" customWidth="1"/>
    <col min="15884" max="15884" width="17.85546875" style="284" customWidth="1"/>
    <col min="15885" max="15885" width="14.5703125" style="284" customWidth="1"/>
    <col min="15886" max="15886" width="15.7109375" style="284" customWidth="1"/>
    <col min="15887" max="15887" width="16.85546875" style="284" customWidth="1"/>
    <col min="15888" max="15888" width="17.85546875" style="284" customWidth="1"/>
    <col min="15889" max="15889" width="16.5703125" style="284" customWidth="1"/>
    <col min="15890" max="15890" width="17" style="284" customWidth="1"/>
    <col min="15891" max="15891" width="11.140625" style="284" customWidth="1"/>
    <col min="15892" max="15892" width="11" style="284" customWidth="1"/>
    <col min="15893" max="15900" width="0" style="284" hidden="1" customWidth="1"/>
    <col min="15901" max="16128" width="9.140625" style="284"/>
    <col min="16129" max="16129" width="5" style="284" customWidth="1"/>
    <col min="16130" max="16130" width="46.85546875" style="284" customWidth="1"/>
    <col min="16131" max="16131" width="10.7109375" style="284" customWidth="1"/>
    <col min="16132" max="16132" width="11.5703125" style="284" customWidth="1"/>
    <col min="16133" max="16133" width="10.7109375" style="284" customWidth="1"/>
    <col min="16134" max="16134" width="11.7109375" style="284" customWidth="1"/>
    <col min="16135" max="16135" width="13.5703125" style="284" customWidth="1"/>
    <col min="16136" max="16137" width="16.42578125" style="284" customWidth="1"/>
    <col min="16138" max="16138" width="11.140625" style="284" customWidth="1"/>
    <col min="16139" max="16139" width="19.140625" style="284" customWidth="1"/>
    <col min="16140" max="16140" width="17.85546875" style="284" customWidth="1"/>
    <col min="16141" max="16141" width="14.5703125" style="284" customWidth="1"/>
    <col min="16142" max="16142" width="15.7109375" style="284" customWidth="1"/>
    <col min="16143" max="16143" width="16.85546875" style="284" customWidth="1"/>
    <col min="16144" max="16144" width="17.85546875" style="284" customWidth="1"/>
    <col min="16145" max="16145" width="16.5703125" style="284" customWidth="1"/>
    <col min="16146" max="16146" width="17" style="284" customWidth="1"/>
    <col min="16147" max="16147" width="11.140625" style="284" customWidth="1"/>
    <col min="16148" max="16148" width="11" style="284" customWidth="1"/>
    <col min="16149" max="16156" width="0" style="284" hidden="1" customWidth="1"/>
    <col min="16157" max="16384" width="9.140625" style="284"/>
  </cols>
  <sheetData>
    <row r="1" spans="1:28" ht="16.5">
      <c r="A1" s="734" t="s">
        <v>576</v>
      </c>
      <c r="B1" s="734"/>
      <c r="C1" s="735" t="s">
        <v>577</v>
      </c>
      <c r="D1" s="735"/>
      <c r="E1" s="735"/>
      <c r="F1" s="735"/>
      <c r="G1" s="735"/>
      <c r="H1" s="279"/>
      <c r="I1" s="279"/>
      <c r="J1" s="279"/>
      <c r="K1" s="279"/>
      <c r="L1" s="280"/>
      <c r="M1" s="281"/>
      <c r="N1" s="281"/>
      <c r="O1" s="281"/>
      <c r="P1" s="281"/>
      <c r="Q1" s="281"/>
      <c r="R1" s="281"/>
      <c r="S1" s="281"/>
    </row>
    <row r="2" spans="1:28">
      <c r="A2" s="734" t="s">
        <v>578</v>
      </c>
      <c r="B2" s="734"/>
      <c r="C2" s="736" t="s">
        <v>579</v>
      </c>
      <c r="D2" s="736"/>
      <c r="E2" s="736"/>
      <c r="F2" s="736"/>
      <c r="G2" s="736"/>
      <c r="H2" s="285"/>
      <c r="I2" s="285"/>
      <c r="J2" s="285"/>
      <c r="K2" s="285"/>
      <c r="L2" s="286"/>
      <c r="M2" s="287"/>
      <c r="N2" s="287"/>
      <c r="O2" s="287"/>
      <c r="P2" s="287"/>
      <c r="Q2" s="287"/>
      <c r="R2" s="287"/>
      <c r="S2" s="287"/>
    </row>
    <row r="3" spans="1:28" ht="9.75" customHeight="1">
      <c r="A3" s="577"/>
      <c r="B3" s="577"/>
      <c r="C3" s="737"/>
      <c r="D3" s="737"/>
      <c r="E3" s="737"/>
      <c r="F3" s="737"/>
      <c r="G3" s="737"/>
      <c r="H3" s="288"/>
      <c r="I3" s="288"/>
      <c r="J3" s="288"/>
      <c r="K3" s="288"/>
      <c r="L3" s="289"/>
      <c r="M3" s="290"/>
      <c r="N3" s="290"/>
      <c r="O3" s="290"/>
      <c r="P3" s="290"/>
      <c r="Q3" s="290"/>
      <c r="R3" s="290"/>
      <c r="S3" s="290"/>
    </row>
    <row r="4" spans="1:28">
      <c r="A4" s="577"/>
      <c r="B4" s="577"/>
      <c r="C4" s="733"/>
      <c r="D4" s="733"/>
      <c r="E4" s="733"/>
      <c r="F4" s="733"/>
      <c r="G4" s="733"/>
      <c r="H4" s="291"/>
      <c r="I4" s="291"/>
      <c r="J4" s="291"/>
      <c r="K4" s="291"/>
      <c r="L4" s="292"/>
      <c r="M4" s="293"/>
      <c r="N4" s="293"/>
      <c r="O4" s="293"/>
      <c r="P4" s="293"/>
      <c r="Q4" s="293"/>
      <c r="R4" s="293"/>
      <c r="S4" s="293"/>
    </row>
    <row r="5" spans="1:28" ht="24" customHeight="1">
      <c r="A5" s="736" t="s">
        <v>786</v>
      </c>
      <c r="B5" s="736"/>
      <c r="C5" s="736"/>
      <c r="D5" s="736"/>
      <c r="E5" s="736"/>
      <c r="F5" s="736"/>
      <c r="G5" s="736"/>
      <c r="H5" s="294"/>
      <c r="I5" s="294"/>
      <c r="J5" s="294"/>
      <c r="K5" s="294"/>
      <c r="L5" s="295"/>
      <c r="M5" s="296"/>
      <c r="N5" s="296"/>
      <c r="O5" s="296"/>
      <c r="P5" s="296"/>
      <c r="Q5" s="296"/>
      <c r="R5" s="296"/>
      <c r="S5" s="296"/>
    </row>
    <row r="6" spans="1:28" ht="18.75" hidden="1" customHeight="1">
      <c r="A6" s="740" t="s">
        <v>580</v>
      </c>
      <c r="B6" s="740"/>
      <c r="C6" s="740"/>
      <c r="D6" s="740"/>
      <c r="E6" s="740"/>
      <c r="F6" s="740"/>
      <c r="G6" s="740"/>
      <c r="H6" s="297"/>
      <c r="I6" s="297"/>
      <c r="J6" s="297"/>
      <c r="K6" s="297"/>
      <c r="L6" s="298"/>
      <c r="M6" s="299"/>
      <c r="N6" s="299"/>
      <c r="O6" s="299"/>
      <c r="P6" s="299"/>
      <c r="Q6" s="299"/>
      <c r="R6" s="299"/>
      <c r="S6" s="299"/>
    </row>
    <row r="7" spans="1:28" ht="37.5" customHeight="1">
      <c r="A7" s="741" t="s">
        <v>581</v>
      </c>
      <c r="B7" s="741"/>
      <c r="C7" s="741"/>
      <c r="D7" s="741"/>
      <c r="E7" s="741"/>
      <c r="F7" s="741"/>
      <c r="G7" s="741"/>
      <c r="H7" s="300"/>
      <c r="I7" s="300"/>
      <c r="J7" s="300"/>
      <c r="K7" s="300"/>
      <c r="L7" s="301"/>
      <c r="M7" s="302"/>
      <c r="N7" s="302"/>
      <c r="O7" s="302"/>
      <c r="P7" s="302"/>
      <c r="Q7" s="302"/>
      <c r="R7" s="302"/>
      <c r="S7" s="302"/>
    </row>
    <row r="8" spans="1:28" ht="37.5" customHeight="1">
      <c r="A8" s="741" t="s">
        <v>792</v>
      </c>
      <c r="B8" s="741"/>
      <c r="C8" s="741"/>
      <c r="D8" s="741"/>
      <c r="E8" s="741"/>
      <c r="F8" s="741"/>
      <c r="G8" s="741"/>
      <c r="H8" s="300"/>
      <c r="I8" s="300"/>
      <c r="J8" s="300"/>
      <c r="K8" s="300"/>
      <c r="L8" s="301"/>
      <c r="M8" s="302"/>
      <c r="N8" s="302"/>
      <c r="O8" s="302"/>
      <c r="P8" s="302"/>
      <c r="Q8" s="302"/>
      <c r="R8" s="302"/>
      <c r="S8" s="302"/>
    </row>
    <row r="9" spans="1:28" ht="58.5" customHeight="1">
      <c r="A9" s="741" t="s">
        <v>582</v>
      </c>
      <c r="B9" s="741"/>
      <c r="C9" s="741"/>
      <c r="D9" s="741"/>
      <c r="E9" s="741"/>
      <c r="F9" s="741"/>
      <c r="G9" s="741"/>
      <c r="H9" s="300"/>
      <c r="I9" s="300"/>
      <c r="J9" s="300"/>
      <c r="K9" s="300"/>
      <c r="L9" s="301"/>
      <c r="M9" s="302"/>
      <c r="N9" s="302"/>
      <c r="O9" s="302"/>
      <c r="P9" s="302"/>
      <c r="Q9" s="302"/>
      <c r="R9" s="302"/>
      <c r="S9" s="302"/>
    </row>
    <row r="10" spans="1:28" ht="34.5" customHeight="1">
      <c r="A10" s="741" t="s">
        <v>785</v>
      </c>
      <c r="B10" s="741"/>
      <c r="C10" s="741"/>
      <c r="D10" s="741"/>
      <c r="E10" s="741"/>
      <c r="F10" s="741"/>
      <c r="G10" s="741"/>
      <c r="H10" s="300"/>
      <c r="I10" s="300"/>
      <c r="J10" s="300"/>
      <c r="K10" s="300"/>
      <c r="L10" s="301"/>
      <c r="M10" s="302"/>
      <c r="N10" s="302"/>
      <c r="O10" s="302"/>
      <c r="P10" s="302"/>
      <c r="Q10" s="302"/>
      <c r="R10" s="302"/>
      <c r="S10" s="302"/>
    </row>
    <row r="11" spans="1:28" ht="21.75" customHeight="1">
      <c r="A11" s="576"/>
      <c r="B11" s="576"/>
      <c r="F11" s="742" t="s">
        <v>583</v>
      </c>
      <c r="G11" s="742"/>
      <c r="H11" s="305"/>
      <c r="I11" s="305"/>
      <c r="J11" s="305"/>
      <c r="K11" s="305"/>
      <c r="L11" s="306"/>
      <c r="M11" s="307"/>
      <c r="N11" s="307"/>
      <c r="O11" s="307"/>
      <c r="P11" s="307"/>
      <c r="Q11" s="307"/>
      <c r="R11" s="307"/>
      <c r="S11" s="307"/>
    </row>
    <row r="12" spans="1:28" s="316" customFormat="1" ht="135.75" customHeight="1">
      <c r="A12" s="308" t="s">
        <v>584</v>
      </c>
      <c r="B12" s="308" t="s">
        <v>115</v>
      </c>
      <c r="C12" s="309" t="s">
        <v>656</v>
      </c>
      <c r="D12" s="309" t="s">
        <v>787</v>
      </c>
      <c r="E12" s="310" t="s">
        <v>788</v>
      </c>
      <c r="F12" s="309" t="s">
        <v>789</v>
      </c>
      <c r="G12" s="309" t="s">
        <v>790</v>
      </c>
      <c r="H12" s="581"/>
      <c r="I12" s="581"/>
      <c r="J12" s="311"/>
      <c r="K12" s="311"/>
      <c r="L12" s="312"/>
      <c r="M12" s="296"/>
      <c r="N12" s="296"/>
      <c r="O12" s="296"/>
      <c r="P12" s="296"/>
      <c r="Q12" s="296"/>
      <c r="R12" s="296"/>
      <c r="S12" s="296"/>
      <c r="T12" s="582"/>
      <c r="U12" s="313" t="s">
        <v>585</v>
      </c>
      <c r="V12" s="314" t="s">
        <v>586</v>
      </c>
      <c r="W12" s="315" t="s">
        <v>587</v>
      </c>
      <c r="X12" s="315" t="s">
        <v>588</v>
      </c>
      <c r="Y12" s="315" t="s">
        <v>589</v>
      </c>
      <c r="Z12" s="315" t="s">
        <v>590</v>
      </c>
      <c r="AA12" s="315" t="s">
        <v>591</v>
      </c>
      <c r="AB12" s="315" t="s">
        <v>592</v>
      </c>
    </row>
    <row r="13" spans="1:28" ht="15.75" customHeight="1">
      <c r="A13" s="317">
        <v>1</v>
      </c>
      <c r="B13" s="317">
        <v>2</v>
      </c>
      <c r="C13" s="318">
        <v>3</v>
      </c>
      <c r="D13" s="319" t="s">
        <v>593</v>
      </c>
      <c r="E13" s="320"/>
      <c r="F13" s="321" t="s">
        <v>594</v>
      </c>
      <c r="G13" s="319" t="s">
        <v>595</v>
      </c>
      <c r="H13" s="322"/>
      <c r="I13" s="322"/>
      <c r="J13" s="322"/>
      <c r="K13" s="322"/>
      <c r="L13" s="323"/>
      <c r="M13" s="324"/>
      <c r="N13" s="324"/>
      <c r="O13" s="324"/>
      <c r="P13" s="324"/>
      <c r="Q13" s="324"/>
      <c r="R13" s="324"/>
      <c r="S13" s="324"/>
      <c r="U13" s="325"/>
      <c r="V13" s="326"/>
      <c r="W13" s="327"/>
      <c r="X13" s="327"/>
      <c r="Y13" s="327"/>
      <c r="Z13" s="327"/>
      <c r="AA13" s="327"/>
      <c r="AB13" s="327"/>
    </row>
    <row r="14" spans="1:28" ht="20.100000000000001" customHeight="1">
      <c r="A14" s="308" t="s">
        <v>89</v>
      </c>
      <c r="B14" s="328" t="s">
        <v>596</v>
      </c>
      <c r="C14" s="329"/>
      <c r="D14" s="330"/>
      <c r="E14" s="331"/>
      <c r="F14" s="330"/>
      <c r="G14" s="330"/>
      <c r="H14" s="332"/>
      <c r="I14" s="332"/>
      <c r="J14" s="332"/>
      <c r="K14" s="332"/>
      <c r="L14" s="333"/>
      <c r="M14" s="334"/>
      <c r="N14" s="334"/>
      <c r="O14" s="334"/>
      <c r="P14" s="334"/>
      <c r="Q14" s="334"/>
      <c r="R14" s="334"/>
      <c r="S14" s="334"/>
      <c r="U14" s="325"/>
      <c r="V14" s="326"/>
      <c r="W14" s="327"/>
      <c r="X14" s="327"/>
      <c r="Y14" s="327"/>
      <c r="Z14" s="327"/>
      <c r="AA14" s="327"/>
      <c r="AB14" s="327"/>
    </row>
    <row r="15" spans="1:28" ht="20.100000000000001" customHeight="1">
      <c r="A15" s="308" t="s">
        <v>3</v>
      </c>
      <c r="B15" s="328" t="s">
        <v>597</v>
      </c>
      <c r="C15" s="335">
        <f>C16+C18</f>
        <v>6582</v>
      </c>
      <c r="D15" s="335">
        <f>D16+D18</f>
        <v>6418.9118790000002</v>
      </c>
      <c r="E15" s="336">
        <f>E16+E18</f>
        <v>6075.1258959999996</v>
      </c>
      <c r="F15" s="335">
        <f>D15/C15*100</f>
        <v>97.522210255241575</v>
      </c>
      <c r="G15" s="335">
        <f>D15/E15*100</f>
        <v>105.65891125361463</v>
      </c>
      <c r="H15" s="337"/>
      <c r="I15" s="337"/>
      <c r="J15" s="337"/>
      <c r="K15" s="337"/>
      <c r="L15" s="338"/>
      <c r="M15" s="339"/>
      <c r="N15" s="339"/>
      <c r="O15" s="339"/>
      <c r="P15" s="339"/>
      <c r="Q15" s="339"/>
      <c r="R15" s="339"/>
      <c r="S15" s="339"/>
      <c r="U15" s="340">
        <f>U16+U18</f>
        <v>1298.05</v>
      </c>
      <c r="V15" s="326"/>
      <c r="W15" s="340">
        <f t="shared" ref="W15:AB15" si="0">W16+W18</f>
        <v>0</v>
      </c>
      <c r="X15" s="340">
        <f t="shared" si="0"/>
        <v>0</v>
      </c>
      <c r="Y15" s="340">
        <f t="shared" si="0"/>
        <v>0</v>
      </c>
      <c r="Z15" s="340">
        <f t="shared" si="0"/>
        <v>0</v>
      </c>
      <c r="AA15" s="340">
        <f t="shared" si="0"/>
        <v>21</v>
      </c>
      <c r="AB15" s="340">
        <f t="shared" si="0"/>
        <v>0</v>
      </c>
    </row>
    <row r="16" spans="1:28" s="343" customFormat="1" ht="20.100000000000001" customHeight="1">
      <c r="A16" s="308">
        <v>1</v>
      </c>
      <c r="B16" s="328" t="s">
        <v>598</v>
      </c>
      <c r="C16" s="335">
        <f>C17</f>
        <v>5</v>
      </c>
      <c r="D16" s="335">
        <f>D17</f>
        <v>7.1</v>
      </c>
      <c r="E16" s="341">
        <f>E17</f>
        <v>3.4</v>
      </c>
      <c r="F16" s="335">
        <f t="shared" ref="F16:F21" si="1">D16/C16*100</f>
        <v>142</v>
      </c>
      <c r="G16" s="335">
        <f t="shared" ref="G16:G19" si="2">D16/E16*100</f>
        <v>208.82352941176472</v>
      </c>
      <c r="H16" s="337"/>
      <c r="I16" s="337"/>
      <c r="J16" s="337"/>
      <c r="K16" s="337"/>
      <c r="L16" s="338"/>
      <c r="M16" s="339"/>
      <c r="N16" s="339"/>
      <c r="O16" s="339"/>
      <c r="P16" s="339"/>
      <c r="Q16" s="339"/>
      <c r="R16" s="339"/>
      <c r="S16" s="339"/>
      <c r="T16" s="583"/>
      <c r="U16" s="340">
        <f>U17</f>
        <v>1.05</v>
      </c>
      <c r="V16" s="342"/>
      <c r="W16" s="340">
        <f t="shared" ref="W16:AB16" si="3">W17</f>
        <v>0</v>
      </c>
      <c r="X16" s="340">
        <f t="shared" si="3"/>
        <v>0</v>
      </c>
      <c r="Y16" s="340">
        <f t="shared" si="3"/>
        <v>0</v>
      </c>
      <c r="Z16" s="340">
        <f t="shared" si="3"/>
        <v>0</v>
      </c>
      <c r="AA16" s="340">
        <f t="shared" si="3"/>
        <v>0</v>
      </c>
      <c r="AB16" s="340">
        <f t="shared" si="3"/>
        <v>0</v>
      </c>
    </row>
    <row r="17" spans="1:28" s="343" customFormat="1" ht="56.25" customHeight="1">
      <c r="A17" s="308"/>
      <c r="B17" s="410" t="s">
        <v>23</v>
      </c>
      <c r="C17" s="345">
        <f>SNN!I9/1000000</f>
        <v>5</v>
      </c>
      <c r="D17" s="345">
        <f>SNN!J9/1000000</f>
        <v>7.1</v>
      </c>
      <c r="E17" s="345">
        <f>SNN!K9/1000000</f>
        <v>3.4</v>
      </c>
      <c r="F17" s="345">
        <f t="shared" si="1"/>
        <v>142</v>
      </c>
      <c r="G17" s="345">
        <f t="shared" si="2"/>
        <v>208.82352941176472</v>
      </c>
      <c r="H17" s="337"/>
      <c r="I17" s="337"/>
      <c r="J17" s="337"/>
      <c r="K17" s="337"/>
      <c r="L17" s="338"/>
      <c r="M17" s="339"/>
      <c r="N17" s="339"/>
      <c r="O17" s="339"/>
      <c r="P17" s="339"/>
      <c r="Q17" s="339"/>
      <c r="R17" s="339"/>
      <c r="S17" s="339"/>
      <c r="T17" s="583"/>
      <c r="U17" s="325">
        <v>1.05</v>
      </c>
      <c r="V17" s="342"/>
      <c r="W17" s="346"/>
      <c r="X17" s="346"/>
      <c r="Y17" s="346"/>
      <c r="Z17" s="346"/>
      <c r="AA17" s="346"/>
      <c r="AB17" s="346"/>
    </row>
    <row r="18" spans="1:28" s="343" customFormat="1" ht="20.100000000000001" customHeight="1">
      <c r="A18" s="308">
        <v>2</v>
      </c>
      <c r="B18" s="328" t="s">
        <v>599</v>
      </c>
      <c r="C18" s="335">
        <f>SUM(C19:C21)</f>
        <v>6577</v>
      </c>
      <c r="D18" s="335">
        <f>SUM(D19:D21)</f>
        <v>6411.8118789999999</v>
      </c>
      <c r="E18" s="336">
        <f>SUM(E19:E21)</f>
        <v>6071.7258959999999</v>
      </c>
      <c r="F18" s="335">
        <f t="shared" si="1"/>
        <v>97.488397126349398</v>
      </c>
      <c r="G18" s="335">
        <f t="shared" si="2"/>
        <v>105.60114189647535</v>
      </c>
      <c r="H18" s="311"/>
      <c r="I18" s="311"/>
      <c r="J18" s="311"/>
      <c r="K18" s="311"/>
      <c r="L18" s="312"/>
      <c r="M18" s="296"/>
      <c r="N18" s="296"/>
      <c r="O18" s="296"/>
      <c r="P18" s="296"/>
      <c r="Q18" s="296"/>
      <c r="R18" s="296"/>
      <c r="S18" s="296"/>
      <c r="T18" s="583"/>
      <c r="U18" s="340">
        <f>SUM(U19:U21)</f>
        <v>1297</v>
      </c>
      <c r="V18" s="342"/>
      <c r="W18" s="340">
        <f t="shared" ref="W18:AB18" si="4">SUM(W19:W21)</f>
        <v>0</v>
      </c>
      <c r="X18" s="340">
        <f t="shared" si="4"/>
        <v>0</v>
      </c>
      <c r="Y18" s="340">
        <f t="shared" si="4"/>
        <v>0</v>
      </c>
      <c r="Z18" s="340">
        <f t="shared" si="4"/>
        <v>0</v>
      </c>
      <c r="AA18" s="340">
        <f t="shared" si="4"/>
        <v>21</v>
      </c>
      <c r="AB18" s="340">
        <f t="shared" si="4"/>
        <v>0</v>
      </c>
    </row>
    <row r="19" spans="1:28">
      <c r="A19" s="347"/>
      <c r="B19" s="410" t="s">
        <v>21</v>
      </c>
      <c r="C19" s="345">
        <f>SNN!I11/1000000</f>
        <v>40</v>
      </c>
      <c r="D19" s="345">
        <f>SNN!J11/1000000</f>
        <v>162.299429</v>
      </c>
      <c r="E19" s="345">
        <f>SNN!K11/1000000</f>
        <v>205.60549599999999</v>
      </c>
      <c r="F19" s="345">
        <f t="shared" si="1"/>
        <v>405.74857250000002</v>
      </c>
      <c r="G19" s="345">
        <f t="shared" si="2"/>
        <v>78.9373008783773</v>
      </c>
      <c r="H19" s="348"/>
      <c r="I19" s="348"/>
      <c r="J19" s="348"/>
      <c r="K19" s="348"/>
      <c r="L19" s="349"/>
      <c r="M19" s="299"/>
      <c r="N19" s="299"/>
      <c r="O19" s="299"/>
      <c r="P19" s="299"/>
      <c r="Q19" s="299"/>
      <c r="R19" s="299"/>
      <c r="S19" s="299"/>
      <c r="U19" s="325"/>
      <c r="V19" s="326"/>
      <c r="W19" s="327"/>
      <c r="X19" s="327"/>
      <c r="Y19" s="327"/>
      <c r="Z19" s="327"/>
      <c r="AA19" s="327">
        <v>21</v>
      </c>
      <c r="AB19" s="327"/>
    </row>
    <row r="20" spans="1:28" ht="37.5">
      <c r="A20" s="347"/>
      <c r="B20" s="410" t="s">
        <v>22</v>
      </c>
      <c r="C20" s="345">
        <f>SNN!I12/1000000</f>
        <v>6292</v>
      </c>
      <c r="D20" s="345">
        <f>SNN!J12/1000000</f>
        <v>6067.2613000000001</v>
      </c>
      <c r="E20" s="345">
        <f>SNN!K12/1000000</f>
        <v>5721.6704</v>
      </c>
      <c r="F20" s="345">
        <f t="shared" ref="F20" si="5">D20/C20*100</f>
        <v>96.428183407501592</v>
      </c>
      <c r="G20" s="345">
        <f t="shared" ref="G20" si="6">D20/E20*100</f>
        <v>106.04003509185009</v>
      </c>
      <c r="H20" s="348"/>
      <c r="I20" s="348"/>
      <c r="J20" s="348"/>
      <c r="K20" s="348"/>
      <c r="L20" s="349"/>
      <c r="M20" s="299"/>
      <c r="N20" s="299"/>
      <c r="O20" s="299"/>
      <c r="P20" s="299"/>
      <c r="Q20" s="299"/>
      <c r="R20" s="299"/>
      <c r="S20" s="299"/>
      <c r="U20" s="325"/>
      <c r="V20" s="326"/>
      <c r="W20" s="327"/>
      <c r="X20" s="327"/>
      <c r="Y20" s="327"/>
      <c r="Z20" s="327"/>
      <c r="AA20" s="327"/>
      <c r="AB20" s="327"/>
    </row>
    <row r="21" spans="1:28" ht="56.25">
      <c r="A21" s="347"/>
      <c r="B21" s="410" t="s">
        <v>345</v>
      </c>
      <c r="C21" s="345">
        <f>SNN!I13/1000000</f>
        <v>245</v>
      </c>
      <c r="D21" s="345">
        <f>SNN!J13/1000000</f>
        <v>182.25115</v>
      </c>
      <c r="E21" s="345">
        <f>SNN!K13/1000000</f>
        <v>144.44999999999999</v>
      </c>
      <c r="F21" s="345">
        <f t="shared" si="1"/>
        <v>74.388224489795917</v>
      </c>
      <c r="G21" s="345">
        <f>D21/E21*100</f>
        <v>126.16902042229145</v>
      </c>
      <c r="H21" s="351"/>
      <c r="I21" s="351"/>
      <c r="J21" s="351"/>
      <c r="K21" s="351"/>
      <c r="L21" s="352"/>
      <c r="M21" s="353"/>
      <c r="N21" s="353"/>
      <c r="O21" s="353"/>
      <c r="P21" s="353"/>
      <c r="Q21" s="353"/>
      <c r="R21" s="353"/>
      <c r="S21" s="353"/>
      <c r="U21" s="325">
        <v>1297</v>
      </c>
      <c r="V21" s="326"/>
      <c r="W21" s="327"/>
      <c r="X21" s="327"/>
      <c r="Y21" s="327"/>
      <c r="Z21" s="327"/>
      <c r="AA21" s="327"/>
      <c r="AB21" s="327"/>
    </row>
    <row r="22" spans="1:28" ht="20.100000000000001" customHeight="1">
      <c r="A22" s="308" t="s">
        <v>5</v>
      </c>
      <c r="B22" s="328" t="s">
        <v>602</v>
      </c>
      <c r="C22" s="354"/>
      <c r="D22" s="355"/>
      <c r="E22" s="341"/>
      <c r="F22" s="335"/>
      <c r="G22" s="335"/>
      <c r="H22" s="311"/>
      <c r="I22" s="311"/>
      <c r="J22" s="311"/>
      <c r="K22" s="311"/>
      <c r="L22" s="312"/>
      <c r="M22" s="296"/>
      <c r="N22" s="296"/>
      <c r="O22" s="296"/>
      <c r="P22" s="296"/>
      <c r="Q22" s="296"/>
      <c r="R22" s="296"/>
      <c r="S22" s="296"/>
      <c r="U22" s="325"/>
      <c r="V22" s="326"/>
      <c r="W22" s="327"/>
      <c r="X22" s="327"/>
      <c r="Y22" s="327"/>
      <c r="Z22" s="327"/>
      <c r="AA22" s="327"/>
      <c r="AB22" s="327"/>
    </row>
    <row r="23" spans="1:28" ht="20.100000000000001" customHeight="1">
      <c r="A23" s="356">
        <v>1</v>
      </c>
      <c r="B23" s="357" t="s">
        <v>603</v>
      </c>
      <c r="C23" s="358"/>
      <c r="D23" s="359"/>
      <c r="E23" s="360"/>
      <c r="F23" s="335"/>
      <c r="G23" s="335"/>
      <c r="H23" s="311"/>
      <c r="I23" s="311"/>
      <c r="J23" s="311"/>
      <c r="K23" s="311"/>
      <c r="L23" s="312"/>
      <c r="M23" s="296"/>
      <c r="N23" s="296"/>
      <c r="O23" s="296"/>
      <c r="P23" s="296"/>
      <c r="Q23" s="296"/>
      <c r="R23" s="296"/>
      <c r="S23" s="296"/>
      <c r="U23" s="325"/>
      <c r="V23" s="326"/>
      <c r="W23" s="327"/>
      <c r="X23" s="327"/>
      <c r="Y23" s="327"/>
      <c r="Z23" s="327"/>
      <c r="AA23" s="327"/>
      <c r="AB23" s="327"/>
    </row>
    <row r="24" spans="1:28" ht="20.100000000000001" customHeight="1">
      <c r="A24" s="347" t="s">
        <v>14</v>
      </c>
      <c r="B24" s="344" t="s">
        <v>604</v>
      </c>
      <c r="C24" s="361"/>
      <c r="D24" s="362"/>
      <c r="E24" s="363"/>
      <c r="F24" s="345"/>
      <c r="G24" s="345"/>
      <c r="H24" s="348"/>
      <c r="I24" s="348"/>
      <c r="J24" s="348"/>
      <c r="K24" s="348"/>
      <c r="L24" s="349"/>
      <c r="M24" s="299"/>
      <c r="N24" s="299"/>
      <c r="O24" s="299"/>
      <c r="P24" s="299"/>
      <c r="Q24" s="299"/>
      <c r="R24" s="299"/>
      <c r="S24" s="299"/>
      <c r="U24" s="325"/>
      <c r="V24" s="326"/>
      <c r="W24" s="327"/>
      <c r="X24" s="327"/>
      <c r="Y24" s="327"/>
      <c r="Z24" s="327"/>
      <c r="AA24" s="327"/>
      <c r="AB24" s="327"/>
    </row>
    <row r="25" spans="1:28" ht="20.100000000000001" customHeight="1">
      <c r="A25" s="347" t="s">
        <v>15</v>
      </c>
      <c r="B25" s="344" t="s">
        <v>605</v>
      </c>
      <c r="C25" s="361"/>
      <c r="D25" s="362"/>
      <c r="E25" s="363"/>
      <c r="F25" s="335"/>
      <c r="G25" s="335"/>
      <c r="H25" s="311"/>
      <c r="I25" s="311"/>
      <c r="J25" s="311"/>
      <c r="K25" s="311"/>
      <c r="L25" s="312"/>
      <c r="M25" s="296"/>
      <c r="N25" s="296"/>
      <c r="O25" s="296"/>
      <c r="P25" s="296"/>
      <c r="Q25" s="296"/>
      <c r="R25" s="296"/>
      <c r="S25" s="296"/>
      <c r="U25" s="325"/>
      <c r="V25" s="326"/>
      <c r="W25" s="327"/>
      <c r="X25" s="327"/>
      <c r="Y25" s="327"/>
      <c r="Z25" s="327"/>
      <c r="AA25" s="327"/>
      <c r="AB25" s="327"/>
    </row>
    <row r="26" spans="1:28" ht="20.100000000000001" customHeight="1">
      <c r="A26" s="356">
        <v>2</v>
      </c>
      <c r="B26" s="357" t="s">
        <v>606</v>
      </c>
      <c r="C26" s="358"/>
      <c r="D26" s="359"/>
      <c r="E26" s="360"/>
      <c r="F26" s="335"/>
      <c r="G26" s="335"/>
      <c r="H26" s="311"/>
      <c r="I26" s="311"/>
      <c r="J26" s="311"/>
      <c r="K26" s="311"/>
      <c r="L26" s="312"/>
      <c r="M26" s="296"/>
      <c r="N26" s="296"/>
      <c r="O26" s="296"/>
      <c r="P26" s="296"/>
      <c r="Q26" s="296"/>
      <c r="R26" s="296"/>
      <c r="S26" s="296"/>
      <c r="U26" s="325"/>
      <c r="V26" s="326"/>
      <c r="W26" s="327"/>
      <c r="X26" s="327"/>
      <c r="Y26" s="327"/>
      <c r="Z26" s="327"/>
      <c r="AA26" s="327"/>
      <c r="AB26" s="327"/>
    </row>
    <row r="27" spans="1:28" ht="20.100000000000001" customHeight="1">
      <c r="A27" s="347" t="s">
        <v>14</v>
      </c>
      <c r="B27" s="344" t="s">
        <v>607</v>
      </c>
      <c r="C27" s="345"/>
      <c r="D27" s="345"/>
      <c r="E27" s="350"/>
      <c r="F27" s="335"/>
      <c r="G27" s="335"/>
      <c r="H27" s="311"/>
      <c r="I27" s="311"/>
      <c r="J27" s="311"/>
      <c r="K27" s="311"/>
      <c r="L27" s="312"/>
      <c r="M27" s="296"/>
      <c r="N27" s="296"/>
      <c r="O27" s="296"/>
      <c r="P27" s="296"/>
      <c r="Q27" s="296"/>
      <c r="R27" s="296"/>
      <c r="S27" s="296"/>
      <c r="U27" s="325"/>
      <c r="V27" s="326"/>
      <c r="W27" s="327"/>
      <c r="X27" s="327"/>
      <c r="Y27" s="327"/>
      <c r="Z27" s="327"/>
      <c r="AA27" s="327"/>
      <c r="AB27" s="327"/>
    </row>
    <row r="28" spans="1:28" ht="20.100000000000001" customHeight="1">
      <c r="A28" s="347" t="s">
        <v>15</v>
      </c>
      <c r="B28" s="344" t="s">
        <v>608</v>
      </c>
      <c r="C28" s="345"/>
      <c r="D28" s="345"/>
      <c r="E28" s="350"/>
      <c r="F28" s="345"/>
      <c r="G28" s="345"/>
      <c r="H28" s="348"/>
      <c r="I28" s="348"/>
      <c r="J28" s="348"/>
      <c r="K28" s="348"/>
      <c r="L28" s="349"/>
      <c r="M28" s="299"/>
      <c r="N28" s="299"/>
      <c r="O28" s="299"/>
      <c r="P28" s="299"/>
      <c r="Q28" s="299"/>
      <c r="R28" s="299"/>
      <c r="S28" s="299"/>
      <c r="U28" s="325"/>
      <c r="V28" s="326"/>
      <c r="W28" s="327"/>
      <c r="X28" s="327"/>
      <c r="Y28" s="327"/>
      <c r="Z28" s="327"/>
      <c r="AA28" s="327"/>
      <c r="AB28" s="327"/>
    </row>
    <row r="29" spans="1:28" ht="20.100000000000001" customHeight="1">
      <c r="A29" s="308" t="s">
        <v>90</v>
      </c>
      <c r="B29" s="328" t="s">
        <v>609</v>
      </c>
      <c r="C29" s="335">
        <f>C30+C32</f>
        <v>6582</v>
      </c>
      <c r="D29" s="335">
        <f>D30+D32</f>
        <v>6418.9118790000002</v>
      </c>
      <c r="E29" s="336">
        <f>E30+E32</f>
        <v>6075.1258959999996</v>
      </c>
      <c r="F29" s="335">
        <f t="shared" ref="F29:F41" si="7">D29/C29*100</f>
        <v>97.522210255241575</v>
      </c>
      <c r="G29" s="335">
        <f>D29/E29*100</f>
        <v>105.65891125361463</v>
      </c>
      <c r="H29" s="337"/>
      <c r="I29" s="337"/>
      <c r="J29" s="337"/>
      <c r="K29" s="337"/>
      <c r="L29" s="338"/>
      <c r="M29" s="339"/>
      <c r="N29" s="339"/>
      <c r="O29" s="339"/>
      <c r="P29" s="339"/>
      <c r="Q29" s="339"/>
      <c r="R29" s="339"/>
      <c r="S29" s="339"/>
      <c r="U29" s="340">
        <f>U30+U32</f>
        <v>1298.05</v>
      </c>
      <c r="V29" s="326"/>
      <c r="W29" s="340">
        <f t="shared" ref="W29:AB29" si="8">W30+W32</f>
        <v>0</v>
      </c>
      <c r="X29" s="340">
        <f t="shared" si="8"/>
        <v>0</v>
      </c>
      <c r="Y29" s="340">
        <f t="shared" si="8"/>
        <v>0</v>
      </c>
      <c r="Z29" s="340">
        <f t="shared" si="8"/>
        <v>0</v>
      </c>
      <c r="AA29" s="340">
        <f t="shared" si="8"/>
        <v>21</v>
      </c>
      <c r="AB29" s="340">
        <f t="shared" si="8"/>
        <v>0</v>
      </c>
    </row>
    <row r="30" spans="1:28" s="343" customFormat="1" ht="20.100000000000001" customHeight="1">
      <c r="A30" s="308">
        <v>1</v>
      </c>
      <c r="B30" s="328" t="s">
        <v>598</v>
      </c>
      <c r="C30" s="335">
        <f>+C31</f>
        <v>5</v>
      </c>
      <c r="D30" s="335">
        <f t="shared" ref="D30:E30" si="9">+D31</f>
        <v>7.1</v>
      </c>
      <c r="E30" s="335">
        <f t="shared" si="9"/>
        <v>3.4</v>
      </c>
      <c r="F30" s="335">
        <f t="shared" si="7"/>
        <v>142</v>
      </c>
      <c r="G30" s="335">
        <f t="shared" ref="G30:G33" si="10">D30/E30*100</f>
        <v>208.82352941176472</v>
      </c>
      <c r="H30" s="337"/>
      <c r="I30" s="337"/>
      <c r="J30" s="337"/>
      <c r="K30" s="337"/>
      <c r="L30" s="338"/>
      <c r="M30" s="339"/>
      <c r="N30" s="339"/>
      <c r="O30" s="339"/>
      <c r="P30" s="339"/>
      <c r="Q30" s="339"/>
      <c r="R30" s="339"/>
      <c r="S30" s="339"/>
      <c r="T30" s="583"/>
      <c r="U30" s="364">
        <v>1.05</v>
      </c>
      <c r="V30" s="342"/>
      <c r="W30" s="346"/>
      <c r="X30" s="346"/>
      <c r="Y30" s="346"/>
      <c r="Z30" s="346"/>
      <c r="AA30" s="346"/>
      <c r="AB30" s="346"/>
    </row>
    <row r="31" spans="1:28" ht="59.25" customHeight="1">
      <c r="A31" s="347"/>
      <c r="B31" s="410" t="s">
        <v>23</v>
      </c>
      <c r="C31" s="345">
        <f>C17</f>
        <v>5</v>
      </c>
      <c r="D31" s="345">
        <f t="shared" ref="D31:E31" si="11">D17</f>
        <v>7.1</v>
      </c>
      <c r="E31" s="345">
        <f t="shared" si="11"/>
        <v>3.4</v>
      </c>
      <c r="F31" s="345">
        <f t="shared" si="7"/>
        <v>142</v>
      </c>
      <c r="G31" s="345">
        <f t="shared" si="10"/>
        <v>208.82352941176472</v>
      </c>
      <c r="H31" s="351"/>
      <c r="I31" s="351"/>
      <c r="J31" s="351"/>
      <c r="K31" s="351"/>
      <c r="L31" s="352"/>
      <c r="M31" s="353"/>
      <c r="N31" s="353"/>
      <c r="O31" s="353"/>
      <c r="P31" s="353"/>
      <c r="Q31" s="353"/>
      <c r="R31" s="353"/>
      <c r="S31" s="353"/>
      <c r="U31" s="325"/>
      <c r="V31" s="326"/>
      <c r="W31" s="327"/>
      <c r="X31" s="327"/>
      <c r="Y31" s="327"/>
      <c r="Z31" s="327"/>
      <c r="AA31" s="327"/>
      <c r="AB31" s="327"/>
    </row>
    <row r="32" spans="1:28" s="343" customFormat="1" ht="15.75">
      <c r="A32" s="308">
        <v>2</v>
      </c>
      <c r="B32" s="328" t="s">
        <v>599</v>
      </c>
      <c r="C32" s="335">
        <f>SUM(C33:C35)</f>
        <v>6577</v>
      </c>
      <c r="D32" s="335">
        <f>SUM(D33:D35)</f>
        <v>6411.8118789999999</v>
      </c>
      <c r="E32" s="336">
        <f>SUM(E33:E35)</f>
        <v>6071.7258959999999</v>
      </c>
      <c r="F32" s="335">
        <f t="shared" si="7"/>
        <v>97.488397126349398</v>
      </c>
      <c r="G32" s="335">
        <f t="shared" si="10"/>
        <v>105.60114189647535</v>
      </c>
      <c r="H32" s="337"/>
      <c r="I32" s="337"/>
      <c r="J32" s="337"/>
      <c r="K32" s="337"/>
      <c r="L32" s="338"/>
      <c r="M32" s="339"/>
      <c r="N32" s="339"/>
      <c r="O32" s="339"/>
      <c r="P32" s="339"/>
      <c r="Q32" s="339"/>
      <c r="R32" s="339"/>
      <c r="S32" s="339"/>
      <c r="T32" s="583"/>
      <c r="U32" s="340">
        <f>SUM(U33:U35)</f>
        <v>1297</v>
      </c>
      <c r="V32" s="342"/>
      <c r="W32" s="340">
        <f t="shared" ref="W32:AB32" si="12">SUM(W33:W35)</f>
        <v>0</v>
      </c>
      <c r="X32" s="340">
        <f t="shared" si="12"/>
        <v>0</v>
      </c>
      <c r="Y32" s="340">
        <f t="shared" si="12"/>
        <v>0</v>
      </c>
      <c r="Z32" s="340">
        <f t="shared" si="12"/>
        <v>0</v>
      </c>
      <c r="AA32" s="340">
        <f t="shared" si="12"/>
        <v>21</v>
      </c>
      <c r="AB32" s="340">
        <f t="shared" si="12"/>
        <v>0</v>
      </c>
    </row>
    <row r="33" spans="1:28">
      <c r="A33" s="308"/>
      <c r="B33" s="410" t="s">
        <v>21</v>
      </c>
      <c r="C33" s="345">
        <f>C19</f>
        <v>40</v>
      </c>
      <c r="D33" s="345">
        <f t="shared" ref="D33:E33" si="13">D19</f>
        <v>162.299429</v>
      </c>
      <c r="E33" s="345">
        <f t="shared" si="13"/>
        <v>205.60549599999999</v>
      </c>
      <c r="F33" s="345">
        <f t="shared" si="7"/>
        <v>405.74857250000002</v>
      </c>
      <c r="G33" s="345">
        <f t="shared" si="10"/>
        <v>78.9373008783773</v>
      </c>
      <c r="H33" s="337"/>
      <c r="I33" s="337"/>
      <c r="J33" s="337"/>
      <c r="K33" s="337"/>
      <c r="L33" s="338"/>
      <c r="M33" s="339"/>
      <c r="N33" s="339"/>
      <c r="O33" s="339"/>
      <c r="P33" s="339"/>
      <c r="Q33" s="339"/>
      <c r="R33" s="339"/>
      <c r="S33" s="339"/>
      <c r="U33" s="325"/>
      <c r="V33" s="326"/>
      <c r="W33" s="327"/>
      <c r="X33" s="327"/>
      <c r="Y33" s="327"/>
      <c r="Z33" s="327"/>
      <c r="AA33" s="327">
        <v>21</v>
      </c>
      <c r="AB33" s="327"/>
    </row>
    <row r="34" spans="1:28" ht="37.5">
      <c r="A34" s="356"/>
      <c r="B34" s="410" t="s">
        <v>22</v>
      </c>
      <c r="C34" s="345">
        <f t="shared" ref="C34:E35" si="14">C20</f>
        <v>6292</v>
      </c>
      <c r="D34" s="345">
        <f t="shared" si="14"/>
        <v>6067.2613000000001</v>
      </c>
      <c r="E34" s="345">
        <f t="shared" si="14"/>
        <v>5721.6704</v>
      </c>
      <c r="F34" s="345">
        <f t="shared" ref="F34" si="15">D34/C34*100</f>
        <v>96.428183407501592</v>
      </c>
      <c r="G34" s="345">
        <f t="shared" ref="G34" si="16">D34/E34*100</f>
        <v>106.04003509185009</v>
      </c>
      <c r="H34" s="351"/>
      <c r="I34" s="351"/>
      <c r="J34" s="351"/>
      <c r="K34" s="351"/>
      <c r="L34" s="352"/>
      <c r="M34" s="353"/>
      <c r="N34" s="353"/>
      <c r="O34" s="353"/>
      <c r="P34" s="353"/>
      <c r="Q34" s="353"/>
      <c r="R34" s="353"/>
      <c r="S34" s="353"/>
      <c r="U34" s="325"/>
      <c r="V34" s="326"/>
      <c r="W34" s="327"/>
      <c r="X34" s="327"/>
      <c r="Y34" s="327"/>
      <c r="Z34" s="327"/>
      <c r="AA34" s="327"/>
      <c r="AB34" s="327"/>
    </row>
    <row r="35" spans="1:28" ht="56.25">
      <c r="A35" s="308"/>
      <c r="B35" s="410" t="s">
        <v>345</v>
      </c>
      <c r="C35" s="345">
        <f t="shared" si="14"/>
        <v>245</v>
      </c>
      <c r="D35" s="345">
        <f t="shared" si="14"/>
        <v>182.25115</v>
      </c>
      <c r="E35" s="345">
        <f t="shared" si="14"/>
        <v>144.44999999999999</v>
      </c>
      <c r="F35" s="345">
        <f t="shared" si="7"/>
        <v>74.388224489795917</v>
      </c>
      <c r="G35" s="345">
        <f>D35/E35*100</f>
        <v>126.16902042229145</v>
      </c>
      <c r="H35" s="351"/>
      <c r="I35" s="351"/>
      <c r="J35" s="351"/>
      <c r="K35" s="351"/>
      <c r="L35" s="352"/>
      <c r="M35" s="353"/>
      <c r="N35" s="353"/>
      <c r="O35" s="353"/>
      <c r="P35" s="353"/>
      <c r="Q35" s="353"/>
      <c r="R35" s="353"/>
      <c r="S35" s="353"/>
      <c r="U35" s="325">
        <v>1297</v>
      </c>
      <c r="V35" s="326"/>
      <c r="W35" s="327"/>
      <c r="X35" s="327"/>
      <c r="Y35" s="327"/>
      <c r="Z35" s="327"/>
      <c r="AA35" s="327"/>
      <c r="AB35" s="327"/>
    </row>
    <row r="36" spans="1:28" ht="20.100000000000001" customHeight="1">
      <c r="A36" s="308" t="s">
        <v>68</v>
      </c>
      <c r="B36" s="328" t="s">
        <v>610</v>
      </c>
      <c r="C36" s="335">
        <f>C37+C77+C78</f>
        <v>115567.62732200001</v>
      </c>
      <c r="D36" s="335">
        <f t="shared" ref="D36:E36" si="17">D37+D77+D78</f>
        <v>109858.643339</v>
      </c>
      <c r="E36" s="335">
        <f t="shared" si="17"/>
        <v>97545.504612999997</v>
      </c>
      <c r="F36" s="335">
        <f t="shared" si="7"/>
        <v>95.06004915451507</v>
      </c>
      <c r="G36" s="335">
        <f t="shared" ref="G36:G41" si="18">D36/E36*100</f>
        <v>112.62296891573926</v>
      </c>
      <c r="H36" s="337"/>
      <c r="I36" s="337">
        <f>91312+225+20+580+330+652.8</f>
        <v>93119.8</v>
      </c>
      <c r="J36" s="337"/>
      <c r="K36" s="337">
        <f>SUM(K39:P39)</f>
        <v>5581369160</v>
      </c>
      <c r="L36" s="338"/>
      <c r="M36" s="339"/>
      <c r="N36" s="339"/>
      <c r="O36" s="339"/>
      <c r="P36" s="339"/>
      <c r="Q36" s="339"/>
      <c r="R36" s="339"/>
      <c r="S36" s="339"/>
      <c r="U36" s="365">
        <f t="shared" ref="U36:AB36" si="19">U37+U77+U78</f>
        <v>4959</v>
      </c>
      <c r="V36" s="365">
        <f t="shared" si="19"/>
        <v>1710</v>
      </c>
      <c r="W36" s="365">
        <f t="shared" si="19"/>
        <v>1969</v>
      </c>
      <c r="X36" s="365">
        <f t="shared" si="19"/>
        <v>998</v>
      </c>
      <c r="Y36" s="365">
        <f t="shared" si="19"/>
        <v>589</v>
      </c>
      <c r="Z36" s="365">
        <f t="shared" si="19"/>
        <v>3206</v>
      </c>
      <c r="AA36" s="365">
        <f t="shared" si="19"/>
        <v>4302</v>
      </c>
      <c r="AB36" s="365">
        <f t="shared" si="19"/>
        <v>3048</v>
      </c>
    </row>
    <row r="37" spans="1:28" ht="20.100000000000001" customHeight="1">
      <c r="A37" s="308" t="s">
        <v>3</v>
      </c>
      <c r="B37" s="328" t="s">
        <v>611</v>
      </c>
      <c r="C37" s="335">
        <f>+C38+C41+C48+C51+C54+C57+C60+C63+C66+C69+C72</f>
        <v>115567.62732200001</v>
      </c>
      <c r="D37" s="335">
        <f t="shared" ref="D37:E37" si="20">D38+D41+D48+D51+D54+D57+D60+D63+D66+D69+D72</f>
        <v>109858.643339</v>
      </c>
      <c r="E37" s="335">
        <f t="shared" si="20"/>
        <v>97545.504612999997</v>
      </c>
      <c r="F37" s="335">
        <f t="shared" si="7"/>
        <v>95.06004915451507</v>
      </c>
      <c r="G37" s="335">
        <f t="shared" si="18"/>
        <v>112.62296891573926</v>
      </c>
      <c r="H37" s="337"/>
      <c r="I37" s="337"/>
      <c r="J37" s="337"/>
      <c r="K37" s="337">
        <f>SUM(K40:P40)</f>
        <v>2381761092</v>
      </c>
      <c r="L37" s="338"/>
      <c r="M37" s="339"/>
      <c r="N37" s="339"/>
      <c r="O37" s="339"/>
      <c r="P37" s="339"/>
      <c r="Q37" s="339"/>
      <c r="R37" s="339"/>
      <c r="S37" s="339"/>
      <c r="U37" s="365">
        <f t="shared" ref="U37:AB37" si="21">U38+U41+U48+U51+U54+U57+U60+U63+U66+U69</f>
        <v>4959</v>
      </c>
      <c r="V37" s="365">
        <f t="shared" si="21"/>
        <v>1710</v>
      </c>
      <c r="W37" s="365">
        <f t="shared" si="21"/>
        <v>1969</v>
      </c>
      <c r="X37" s="365">
        <f t="shared" si="21"/>
        <v>998</v>
      </c>
      <c r="Y37" s="365">
        <f t="shared" si="21"/>
        <v>589</v>
      </c>
      <c r="Z37" s="365">
        <f t="shared" si="21"/>
        <v>3206</v>
      </c>
      <c r="AA37" s="365">
        <f t="shared" si="21"/>
        <v>4302</v>
      </c>
      <c r="AB37" s="365">
        <f t="shared" si="21"/>
        <v>3048</v>
      </c>
    </row>
    <row r="38" spans="1:28" ht="20.100000000000001" customHeight="1">
      <c r="A38" s="308">
        <v>1</v>
      </c>
      <c r="B38" s="328" t="s">
        <v>606</v>
      </c>
      <c r="C38" s="335">
        <f>C39+C40</f>
        <v>41713.088931000006</v>
      </c>
      <c r="D38" s="335">
        <f>D39+D40</f>
        <v>40767.760233000001</v>
      </c>
      <c r="E38" s="336">
        <f>E39+E40</f>
        <v>33938.471547000001</v>
      </c>
      <c r="F38" s="335">
        <f t="shared" si="7"/>
        <v>97.733736047302258</v>
      </c>
      <c r="G38" s="335">
        <f t="shared" si="18"/>
        <v>120.12255819046653</v>
      </c>
      <c r="H38" s="337"/>
      <c r="I38" s="337"/>
      <c r="J38" s="337"/>
      <c r="K38" s="337" t="s">
        <v>612</v>
      </c>
      <c r="L38" s="338" t="s">
        <v>613</v>
      </c>
      <c r="M38" s="339" t="s">
        <v>590</v>
      </c>
      <c r="N38" s="339"/>
      <c r="O38" s="339" t="s">
        <v>614</v>
      </c>
      <c r="P38" s="339" t="s">
        <v>591</v>
      </c>
      <c r="Q38" s="339"/>
      <c r="R38" s="339"/>
      <c r="S38" s="339"/>
      <c r="U38" s="364">
        <f t="shared" ref="U38:AB38" si="22">SUM(U39:U40)</f>
        <v>1460</v>
      </c>
      <c r="V38" s="364">
        <f t="shared" si="22"/>
        <v>0</v>
      </c>
      <c r="W38" s="366">
        <f t="shared" si="22"/>
        <v>477</v>
      </c>
      <c r="X38" s="366">
        <f t="shared" si="22"/>
        <v>0</v>
      </c>
      <c r="Y38" s="366">
        <f t="shared" si="22"/>
        <v>546</v>
      </c>
      <c r="Z38" s="366">
        <f t="shared" si="22"/>
        <v>2605</v>
      </c>
      <c r="AA38" s="366">
        <f t="shared" si="22"/>
        <v>1768</v>
      </c>
      <c r="AB38" s="366">
        <f t="shared" si="22"/>
        <v>0</v>
      </c>
    </row>
    <row r="39" spans="1:28" ht="20.100000000000001" customHeight="1">
      <c r="A39" s="347" t="s">
        <v>8</v>
      </c>
      <c r="B39" s="344" t="s">
        <v>607</v>
      </c>
      <c r="C39" s="345">
        <f>SNN!I24/1000000</f>
        <v>30713.900655000001</v>
      </c>
      <c r="D39" s="345">
        <f>SNN!J24/1000000</f>
        <v>30397.187232</v>
      </c>
      <c r="E39" s="345">
        <f>SNN!K24/1000000</f>
        <v>25394.828068999999</v>
      </c>
      <c r="F39" s="345">
        <f t="shared" si="7"/>
        <v>98.968827090516612</v>
      </c>
      <c r="G39" s="345">
        <f t="shared" si="18"/>
        <v>119.69833837586199</v>
      </c>
      <c r="H39" s="351"/>
      <c r="I39" s="351">
        <f>6237+2387+10772+2493+2011+177+76</f>
        <v>24153</v>
      </c>
      <c r="J39" s="351"/>
      <c r="K39" s="351">
        <v>554879177</v>
      </c>
      <c r="L39" s="352">
        <v>519191491</v>
      </c>
      <c r="M39" s="367">
        <v>2216943388</v>
      </c>
      <c r="N39" s="353"/>
      <c r="O39" s="353">
        <v>425619188</v>
      </c>
      <c r="P39" s="353">
        <v>1864735916</v>
      </c>
      <c r="Q39" s="353"/>
      <c r="R39" s="353"/>
      <c r="S39" s="353"/>
      <c r="U39" s="325">
        <v>588</v>
      </c>
      <c r="V39" s="326"/>
      <c r="W39" s="327">
        <v>445</v>
      </c>
      <c r="X39" s="327"/>
      <c r="Y39" s="326">
        <v>508</v>
      </c>
      <c r="Z39" s="327">
        <v>2544</v>
      </c>
      <c r="AA39" s="327">
        <v>1485</v>
      </c>
      <c r="AB39" s="327"/>
    </row>
    <row r="40" spans="1:28" ht="20.100000000000001" customHeight="1">
      <c r="A40" s="347" t="s">
        <v>9</v>
      </c>
      <c r="B40" s="344" t="s">
        <v>608</v>
      </c>
      <c r="C40" s="345">
        <f>SNN!I25/1000000</f>
        <v>10999.188276000001</v>
      </c>
      <c r="D40" s="345">
        <f>SNN!J25/1000000</f>
        <v>10370.573001000001</v>
      </c>
      <c r="E40" s="345">
        <f>SNN!K25/1000000</f>
        <v>8543.643478</v>
      </c>
      <c r="F40" s="345">
        <f t="shared" si="7"/>
        <v>94.284893946477624</v>
      </c>
      <c r="G40" s="345">
        <f t="shared" si="18"/>
        <v>121.38349438040538</v>
      </c>
      <c r="H40" s="351"/>
      <c r="I40" s="351">
        <f>1184+82+126+617+3601+519+20</f>
        <v>6149</v>
      </c>
      <c r="J40" s="351"/>
      <c r="K40" s="351">
        <v>1099806734</v>
      </c>
      <c r="L40" s="352">
        <v>281909436</v>
      </c>
      <c r="M40" s="353">
        <v>354112970</v>
      </c>
      <c r="N40" s="353"/>
      <c r="O40" s="353">
        <v>44501200</v>
      </c>
      <c r="P40" s="353">
        <v>601430752</v>
      </c>
      <c r="Q40" s="353"/>
      <c r="R40" s="353"/>
      <c r="S40" s="353"/>
      <c r="U40" s="325">
        <v>872</v>
      </c>
      <c r="V40" s="326"/>
      <c r="W40" s="327">
        <v>32</v>
      </c>
      <c r="X40" s="326"/>
      <c r="Y40" s="326">
        <v>38</v>
      </c>
      <c r="Z40" s="327">
        <v>61</v>
      </c>
      <c r="AA40" s="327">
        <v>283</v>
      </c>
      <c r="AB40" s="327"/>
    </row>
    <row r="41" spans="1:28" ht="20.100000000000001" customHeight="1">
      <c r="A41" s="308">
        <v>2</v>
      </c>
      <c r="B41" s="328" t="s">
        <v>615</v>
      </c>
      <c r="C41" s="335">
        <f>+C42+C46+C47</f>
        <v>250</v>
      </c>
      <c r="D41" s="335">
        <f t="shared" ref="D41:E41" si="23">+D42+D46+D47</f>
        <v>243.06</v>
      </c>
      <c r="E41" s="335">
        <f t="shared" si="23"/>
        <v>0</v>
      </c>
      <c r="F41" s="335">
        <f t="shared" si="7"/>
        <v>97.224000000000004</v>
      </c>
      <c r="G41" s="400" t="e">
        <f t="shared" si="18"/>
        <v>#DIV/0!</v>
      </c>
      <c r="H41" s="337"/>
      <c r="I41" s="337"/>
      <c r="J41" s="337"/>
      <c r="K41" s="337"/>
      <c r="L41" s="338"/>
      <c r="M41" s="339"/>
      <c r="N41" s="339"/>
      <c r="O41" s="339"/>
      <c r="P41" s="339"/>
      <c r="Q41" s="339"/>
      <c r="R41" s="339"/>
      <c r="S41" s="339"/>
      <c r="U41" s="325"/>
      <c r="V41" s="326"/>
      <c r="W41" s="327"/>
      <c r="X41" s="327"/>
      <c r="Y41" s="326"/>
      <c r="Z41" s="327"/>
      <c r="AA41" s="327"/>
      <c r="AB41" s="327"/>
    </row>
    <row r="42" spans="1:28" ht="37.5" customHeight="1">
      <c r="A42" s="347" t="s">
        <v>12</v>
      </c>
      <c r="B42" s="344" t="s">
        <v>616</v>
      </c>
      <c r="C42" s="345"/>
      <c r="D42" s="345"/>
      <c r="E42" s="350"/>
      <c r="F42" s="345"/>
      <c r="G42" s="345"/>
      <c r="H42" s="351"/>
      <c r="I42" s="351"/>
      <c r="J42" s="351"/>
      <c r="K42" s="351"/>
      <c r="L42" s="352"/>
      <c r="M42" s="353"/>
      <c r="N42" s="353"/>
      <c r="O42" s="353"/>
      <c r="P42" s="353"/>
      <c r="Q42" s="353"/>
      <c r="R42" s="353"/>
      <c r="S42" s="353"/>
      <c r="U42" s="325"/>
      <c r="V42" s="326"/>
      <c r="W42" s="327"/>
      <c r="X42" s="327"/>
      <c r="Y42" s="326"/>
      <c r="Z42" s="327"/>
      <c r="AA42" s="327"/>
      <c r="AB42" s="327"/>
    </row>
    <row r="43" spans="1:28" ht="20.100000000000001" customHeight="1">
      <c r="A43" s="368"/>
      <c r="B43" s="369" t="s">
        <v>617</v>
      </c>
      <c r="C43" s="345"/>
      <c r="D43" s="345"/>
      <c r="E43" s="350"/>
      <c r="F43" s="345"/>
      <c r="G43" s="345"/>
      <c r="H43" s="348"/>
      <c r="I43" s="348"/>
      <c r="J43" s="348"/>
      <c r="K43" s="348"/>
      <c r="L43" s="349"/>
      <c r="M43" s="299"/>
      <c r="N43" s="299"/>
      <c r="O43" s="299"/>
      <c r="P43" s="299"/>
      <c r="Q43" s="299"/>
      <c r="R43" s="299"/>
      <c r="S43" s="299"/>
      <c r="U43" s="325"/>
      <c r="V43" s="326"/>
      <c r="W43" s="327"/>
      <c r="X43" s="327"/>
      <c r="Y43" s="326"/>
      <c r="Z43" s="327"/>
      <c r="AA43" s="327"/>
      <c r="AB43" s="327"/>
    </row>
    <row r="44" spans="1:28" ht="20.100000000000001" customHeight="1">
      <c r="A44" s="368"/>
      <c r="B44" s="369" t="s">
        <v>618</v>
      </c>
      <c r="C44" s="345"/>
      <c r="D44" s="345"/>
      <c r="E44" s="350"/>
      <c r="F44" s="345"/>
      <c r="G44" s="345"/>
      <c r="H44" s="348"/>
      <c r="I44" s="348"/>
      <c r="J44" s="348"/>
      <c r="K44" s="348"/>
      <c r="L44" s="349"/>
      <c r="M44" s="299"/>
      <c r="N44" s="299"/>
      <c r="O44" s="299"/>
      <c r="P44" s="299"/>
      <c r="Q44" s="299"/>
      <c r="R44" s="299"/>
      <c r="S44" s="299"/>
      <c r="U44" s="325"/>
      <c r="V44" s="326"/>
      <c r="W44" s="327"/>
      <c r="X44" s="327"/>
      <c r="Y44" s="326"/>
      <c r="Z44" s="327"/>
      <c r="AA44" s="327"/>
      <c r="AB44" s="327"/>
    </row>
    <row r="45" spans="1:28" ht="19.5" customHeight="1">
      <c r="A45" s="368"/>
      <c r="B45" s="369" t="s">
        <v>619</v>
      </c>
      <c r="C45" s="345"/>
      <c r="D45" s="345"/>
      <c r="E45" s="350"/>
      <c r="F45" s="330"/>
      <c r="G45" s="345"/>
      <c r="H45" s="348"/>
      <c r="I45" s="348"/>
      <c r="J45" s="348"/>
      <c r="K45" s="348"/>
      <c r="L45" s="349"/>
      <c r="M45" s="299"/>
      <c r="N45" s="299"/>
      <c r="O45" s="299"/>
      <c r="P45" s="299"/>
      <c r="Q45" s="299"/>
      <c r="R45" s="299"/>
      <c r="S45" s="299"/>
      <c r="U45" s="325"/>
      <c r="V45" s="326"/>
      <c r="W45" s="327"/>
      <c r="X45" s="327"/>
      <c r="Y45" s="326"/>
      <c r="Z45" s="327"/>
      <c r="AA45" s="327"/>
      <c r="AB45" s="327"/>
    </row>
    <row r="46" spans="1:28" ht="37.5" customHeight="1">
      <c r="A46" s="347" t="s">
        <v>13</v>
      </c>
      <c r="B46" s="344" t="s">
        <v>620</v>
      </c>
      <c r="C46" s="345"/>
      <c r="D46" s="345"/>
      <c r="E46" s="350"/>
      <c r="F46" s="345"/>
      <c r="G46" s="345"/>
      <c r="H46" s="348"/>
      <c r="I46" s="348"/>
      <c r="J46" s="348"/>
      <c r="K46" s="348"/>
      <c r="L46" s="349"/>
      <c r="M46" s="299"/>
      <c r="N46" s="299"/>
      <c r="O46" s="299"/>
      <c r="P46" s="299"/>
      <c r="Q46" s="299"/>
      <c r="R46" s="299"/>
      <c r="S46" s="299"/>
      <c r="U46" s="325"/>
      <c r="V46" s="326"/>
      <c r="W46" s="327"/>
      <c r="X46" s="327"/>
      <c r="Y46" s="326"/>
      <c r="Z46" s="327"/>
      <c r="AA46" s="327"/>
      <c r="AB46" s="327"/>
    </row>
    <row r="47" spans="1:28" ht="20.100000000000001" customHeight="1">
      <c r="A47" s="347" t="s">
        <v>16</v>
      </c>
      <c r="B47" s="344" t="s">
        <v>621</v>
      </c>
      <c r="C47" s="345">
        <f>SNN!I42/1000000</f>
        <v>250</v>
      </c>
      <c r="D47" s="345">
        <f>SNN!J42/1000000</f>
        <v>243.06</v>
      </c>
      <c r="E47" s="345">
        <f>SNN!K42/1000000</f>
        <v>0</v>
      </c>
      <c r="F47" s="345">
        <f t="shared" ref="F47:F48" si="24">D47/C47*100</f>
        <v>97.224000000000004</v>
      </c>
      <c r="G47" s="401" t="e">
        <f t="shared" ref="G47:G48" si="25">D47/E47*100</f>
        <v>#DIV/0!</v>
      </c>
      <c r="H47" s="311"/>
      <c r="I47" s="311"/>
      <c r="J47" s="311"/>
      <c r="K47" s="311"/>
      <c r="L47" s="312"/>
      <c r="M47" s="296"/>
      <c r="N47" s="296"/>
      <c r="O47" s="296"/>
      <c r="P47" s="296"/>
      <c r="Q47" s="296"/>
      <c r="R47" s="296"/>
      <c r="S47" s="296"/>
      <c r="U47" s="325"/>
      <c r="V47" s="326"/>
      <c r="W47" s="327"/>
      <c r="X47" s="327"/>
      <c r="Y47" s="326"/>
      <c r="Z47" s="327"/>
      <c r="AA47" s="327"/>
      <c r="AB47" s="327"/>
    </row>
    <row r="48" spans="1:28" ht="20.100000000000001" customHeight="1">
      <c r="A48" s="308">
        <v>3</v>
      </c>
      <c r="B48" s="328" t="s">
        <v>622</v>
      </c>
      <c r="C48" s="335">
        <f>+C49+C50</f>
        <v>282.49</v>
      </c>
      <c r="D48" s="335">
        <f t="shared" ref="D48:E48" si="26">+D49+D50</f>
        <v>0</v>
      </c>
      <c r="E48" s="335">
        <f t="shared" si="26"/>
        <v>0</v>
      </c>
      <c r="F48" s="400">
        <f t="shared" si="24"/>
        <v>0</v>
      </c>
      <c r="G48" s="400" t="e">
        <f t="shared" si="25"/>
        <v>#DIV/0!</v>
      </c>
      <c r="H48" s="337"/>
      <c r="I48" s="337"/>
      <c r="J48" s="337"/>
      <c r="K48" s="337"/>
      <c r="L48" s="338"/>
      <c r="M48" s="339"/>
      <c r="N48" s="339"/>
      <c r="O48" s="339"/>
      <c r="P48" s="339"/>
      <c r="Q48" s="339"/>
      <c r="R48" s="339"/>
      <c r="S48" s="339"/>
      <c r="U48" s="365">
        <f>U49+U50</f>
        <v>0</v>
      </c>
      <c r="V48" s="365">
        <f t="shared" ref="V48:AB48" si="27">V49+V50</f>
        <v>0</v>
      </c>
      <c r="W48" s="365">
        <f t="shared" si="27"/>
        <v>0</v>
      </c>
      <c r="X48" s="365">
        <f t="shared" si="27"/>
        <v>0</v>
      </c>
      <c r="Y48" s="365">
        <f t="shared" si="27"/>
        <v>0</v>
      </c>
      <c r="Z48" s="365">
        <f t="shared" si="27"/>
        <v>0</v>
      </c>
      <c r="AA48" s="365">
        <f t="shared" si="27"/>
        <v>0</v>
      </c>
      <c r="AB48" s="365">
        <f t="shared" si="27"/>
        <v>0</v>
      </c>
    </row>
    <row r="49" spans="1:28" ht="20.100000000000001" customHeight="1">
      <c r="A49" s="347" t="s">
        <v>623</v>
      </c>
      <c r="B49" s="344" t="s">
        <v>604</v>
      </c>
      <c r="C49" s="345"/>
      <c r="D49" s="345"/>
      <c r="E49" s="350"/>
      <c r="F49" s="335"/>
      <c r="G49" s="335"/>
      <c r="H49" s="337"/>
      <c r="I49" s="337"/>
      <c r="J49" s="337"/>
      <c r="K49" s="337"/>
      <c r="L49" s="338"/>
      <c r="M49" s="339"/>
      <c r="N49" s="339"/>
      <c r="O49" s="339"/>
      <c r="P49" s="339"/>
      <c r="Q49" s="339"/>
      <c r="R49" s="339"/>
      <c r="S49" s="339"/>
      <c r="U49" s="325"/>
      <c r="V49" s="326"/>
      <c r="W49" s="327"/>
      <c r="X49" s="327"/>
      <c r="Y49" s="326"/>
      <c r="Z49" s="327"/>
      <c r="AA49" s="327"/>
      <c r="AB49" s="327"/>
    </row>
    <row r="50" spans="1:28" ht="20.100000000000001" customHeight="1">
      <c r="A50" s="347" t="s">
        <v>624</v>
      </c>
      <c r="B50" s="344" t="s">
        <v>621</v>
      </c>
      <c r="C50" s="345">
        <f>SNN!I45/1000000</f>
        <v>282.49</v>
      </c>
      <c r="D50" s="345">
        <f>SNN!J45/1000000</f>
        <v>0</v>
      </c>
      <c r="E50" s="345">
        <f>SNN!K45/1000000</f>
        <v>0</v>
      </c>
      <c r="F50" s="401">
        <f t="shared" ref="F50" si="28">D50/C50*100</f>
        <v>0</v>
      </c>
      <c r="G50" s="401" t="e">
        <f t="shared" ref="G50" si="29">D50/E50*100</f>
        <v>#DIV/0!</v>
      </c>
      <c r="H50" s="351"/>
      <c r="I50" s="351"/>
      <c r="J50" s="351"/>
      <c r="K50" s="351"/>
      <c r="L50" s="352"/>
      <c r="M50" s="353"/>
      <c r="N50" s="353"/>
      <c r="O50" s="353"/>
      <c r="P50" s="353"/>
      <c r="Q50" s="353"/>
      <c r="R50" s="353"/>
      <c r="S50" s="353"/>
      <c r="U50" s="325"/>
      <c r="V50" s="326"/>
      <c r="W50" s="327"/>
      <c r="X50" s="327"/>
      <c r="Y50" s="326"/>
      <c r="Z50" s="327"/>
      <c r="AA50" s="327"/>
      <c r="AB50" s="327"/>
    </row>
    <row r="51" spans="1:28" ht="20.100000000000001" customHeight="1">
      <c r="A51" s="308">
        <v>4</v>
      </c>
      <c r="B51" s="328" t="s">
        <v>625</v>
      </c>
      <c r="C51" s="335"/>
      <c r="D51" s="335"/>
      <c r="E51" s="336"/>
      <c r="F51" s="335"/>
      <c r="G51" s="335"/>
      <c r="H51" s="337"/>
      <c r="I51" s="337"/>
      <c r="J51" s="337"/>
      <c r="K51" s="337"/>
      <c r="L51" s="338"/>
      <c r="M51" s="339"/>
      <c r="N51" s="339"/>
      <c r="O51" s="339"/>
      <c r="P51" s="339"/>
      <c r="Q51" s="339"/>
      <c r="R51" s="339"/>
      <c r="S51" s="339"/>
      <c r="U51" s="370">
        <f>U52+U53</f>
        <v>0</v>
      </c>
      <c r="V51" s="370">
        <f t="shared" ref="V51:AB51" si="30">V52+V53</f>
        <v>0</v>
      </c>
      <c r="W51" s="370">
        <f t="shared" si="30"/>
        <v>0</v>
      </c>
      <c r="X51" s="370">
        <f t="shared" si="30"/>
        <v>0</v>
      </c>
      <c r="Y51" s="370">
        <f t="shared" si="30"/>
        <v>0</v>
      </c>
      <c r="Z51" s="370">
        <f t="shared" si="30"/>
        <v>0</v>
      </c>
      <c r="AA51" s="370">
        <f t="shared" si="30"/>
        <v>0</v>
      </c>
      <c r="AB51" s="370">
        <f t="shared" si="30"/>
        <v>0</v>
      </c>
    </row>
    <row r="52" spans="1:28" ht="20.100000000000001" customHeight="1">
      <c r="A52" s="347" t="s">
        <v>626</v>
      </c>
      <c r="B52" s="344" t="s">
        <v>604</v>
      </c>
      <c r="C52" s="345"/>
      <c r="D52" s="345"/>
      <c r="E52" s="350"/>
      <c r="F52" s="335"/>
      <c r="G52" s="335"/>
      <c r="H52" s="337"/>
      <c r="I52" s="337"/>
      <c r="J52" s="337"/>
      <c r="K52" s="337"/>
      <c r="L52" s="338"/>
      <c r="M52" s="339"/>
      <c r="N52" s="339"/>
      <c r="O52" s="339"/>
      <c r="P52" s="339"/>
      <c r="Q52" s="339"/>
      <c r="R52" s="339"/>
      <c r="S52" s="339"/>
      <c r="U52" s="325"/>
      <c r="V52" s="326"/>
      <c r="W52" s="327"/>
      <c r="X52" s="327"/>
      <c r="Y52" s="326"/>
      <c r="Z52" s="327"/>
      <c r="AA52" s="327"/>
      <c r="AB52" s="327"/>
    </row>
    <row r="53" spans="1:28" ht="20.100000000000001" customHeight="1">
      <c r="A53" s="347" t="s">
        <v>627</v>
      </c>
      <c r="B53" s="344" t="s">
        <v>621</v>
      </c>
      <c r="C53" s="345"/>
      <c r="D53" s="345"/>
      <c r="E53" s="350"/>
      <c r="F53" s="335"/>
      <c r="G53" s="335"/>
      <c r="H53" s="337"/>
      <c r="I53" s="337"/>
      <c r="J53" s="337"/>
      <c r="K53" s="337"/>
      <c r="L53" s="338"/>
      <c r="M53" s="339"/>
      <c r="N53" s="339"/>
      <c r="O53" s="339"/>
      <c r="P53" s="339"/>
      <c r="Q53" s="339"/>
      <c r="R53" s="339"/>
      <c r="S53" s="339"/>
      <c r="U53" s="325"/>
      <c r="V53" s="326"/>
      <c r="W53" s="327"/>
      <c r="X53" s="327"/>
      <c r="Y53" s="326"/>
      <c r="Z53" s="327"/>
      <c r="AA53" s="327"/>
      <c r="AB53" s="327"/>
    </row>
    <row r="54" spans="1:28" ht="20.100000000000001" customHeight="1">
      <c r="A54" s="308">
        <v>5</v>
      </c>
      <c r="B54" s="328" t="s">
        <v>628</v>
      </c>
      <c r="C54" s="335">
        <f>C55+C56</f>
        <v>336</v>
      </c>
      <c r="D54" s="335">
        <f t="shared" ref="D54:E54" si="31">D55+D56</f>
        <v>336</v>
      </c>
      <c r="E54" s="335">
        <f t="shared" si="31"/>
        <v>326.89999999999998</v>
      </c>
      <c r="F54" s="335">
        <f t="shared" ref="F54" si="32">D54/C54*100</f>
        <v>100</v>
      </c>
      <c r="G54" s="335">
        <f t="shared" ref="G54" si="33">D54/E54*100</f>
        <v>102.78372591006423</v>
      </c>
      <c r="H54" s="337"/>
      <c r="I54" s="337"/>
      <c r="J54" s="337"/>
      <c r="K54" s="337"/>
      <c r="L54" s="338"/>
      <c r="M54" s="339"/>
      <c r="N54" s="339"/>
      <c r="O54" s="339"/>
      <c r="P54" s="339"/>
      <c r="Q54" s="339"/>
      <c r="R54" s="339"/>
      <c r="S54" s="339"/>
      <c r="U54" s="365">
        <f t="shared" ref="U54:AB54" si="34">U55+U56</f>
        <v>0</v>
      </c>
      <c r="V54" s="365">
        <f t="shared" si="34"/>
        <v>0</v>
      </c>
      <c r="W54" s="365">
        <f t="shared" si="34"/>
        <v>0</v>
      </c>
      <c r="X54" s="365">
        <f t="shared" si="34"/>
        <v>0</v>
      </c>
      <c r="Y54" s="365">
        <f t="shared" si="34"/>
        <v>0</v>
      </c>
      <c r="Z54" s="365">
        <f t="shared" si="34"/>
        <v>0</v>
      </c>
      <c r="AA54" s="365">
        <f t="shared" si="34"/>
        <v>0</v>
      </c>
      <c r="AB54" s="365">
        <f t="shared" si="34"/>
        <v>0</v>
      </c>
    </row>
    <row r="55" spans="1:28" ht="20.100000000000001" customHeight="1">
      <c r="A55" s="347" t="s">
        <v>629</v>
      </c>
      <c r="B55" s="344" t="s">
        <v>604</v>
      </c>
      <c r="C55" s="345"/>
      <c r="D55" s="345"/>
      <c r="E55" s="350"/>
      <c r="F55" s="335"/>
      <c r="G55" s="335"/>
      <c r="H55" s="337"/>
      <c r="I55" s="337"/>
      <c r="J55" s="337"/>
      <c r="K55" s="337">
        <f>SUM(K58:R58)</f>
        <v>5145527129</v>
      </c>
      <c r="L55" s="338"/>
      <c r="M55" s="339"/>
      <c r="N55" s="339"/>
      <c r="O55" s="339"/>
      <c r="P55" s="339"/>
      <c r="Q55" s="339"/>
      <c r="R55" s="339"/>
      <c r="S55" s="339"/>
      <c r="U55" s="325"/>
      <c r="V55" s="326"/>
      <c r="W55" s="327"/>
      <c r="X55" s="327"/>
      <c r="Y55" s="326"/>
      <c r="Z55" s="327"/>
      <c r="AA55" s="327"/>
      <c r="AB55" s="327"/>
    </row>
    <row r="56" spans="1:28" ht="20.100000000000001" customHeight="1">
      <c r="A56" s="347" t="s">
        <v>630</v>
      </c>
      <c r="B56" s="344" t="s">
        <v>621</v>
      </c>
      <c r="C56" s="345">
        <f>SNN!I48/1000000</f>
        <v>336</v>
      </c>
      <c r="D56" s="345">
        <f>SNN!J48/1000000</f>
        <v>336</v>
      </c>
      <c r="E56" s="345">
        <f>SNN!K48/1000000</f>
        <v>326.89999999999998</v>
      </c>
      <c r="F56" s="345">
        <f t="shared" ref="F56:F62" si="35">D56/C56*100</f>
        <v>100</v>
      </c>
      <c r="G56" s="345">
        <f t="shared" ref="G56:G62" si="36">D56/E56*100</f>
        <v>102.78372591006423</v>
      </c>
      <c r="H56" s="351"/>
      <c r="I56" s="351"/>
      <c r="J56" s="351"/>
      <c r="K56" s="337">
        <f>SUM(K59:R59)</f>
        <v>4231770477</v>
      </c>
      <c r="L56" s="352"/>
      <c r="M56" s="353"/>
      <c r="N56" s="353"/>
      <c r="O56" s="353"/>
      <c r="P56" s="353"/>
      <c r="Q56" s="353"/>
      <c r="R56" s="353"/>
      <c r="S56" s="353"/>
      <c r="U56" s="325"/>
      <c r="V56" s="326"/>
      <c r="W56" s="326"/>
      <c r="X56" s="326"/>
      <c r="Y56" s="326"/>
      <c r="Z56" s="327"/>
      <c r="AA56" s="327"/>
      <c r="AB56" s="327"/>
    </row>
    <row r="57" spans="1:28" ht="20.100000000000001" customHeight="1">
      <c r="A57" s="308">
        <v>6</v>
      </c>
      <c r="B57" s="328" t="s">
        <v>631</v>
      </c>
      <c r="C57" s="335">
        <f>C58+C59</f>
        <v>60943.314891000002</v>
      </c>
      <c r="D57" s="335">
        <f>D58+D59</f>
        <v>56741.693334000003</v>
      </c>
      <c r="E57" s="336">
        <f>E58+E59</f>
        <v>48781.050860999996</v>
      </c>
      <c r="F57" s="335">
        <f t="shared" si="35"/>
        <v>93.105689172775058</v>
      </c>
      <c r="G57" s="335">
        <f t="shared" si="36"/>
        <v>116.31912870365093</v>
      </c>
      <c r="H57" s="337"/>
      <c r="I57" s="337"/>
      <c r="J57" s="337"/>
      <c r="K57" s="337" t="s">
        <v>586</v>
      </c>
      <c r="L57" s="338" t="s">
        <v>613</v>
      </c>
      <c r="M57" s="339" t="s">
        <v>592</v>
      </c>
      <c r="N57" s="339" t="s">
        <v>632</v>
      </c>
      <c r="O57" s="339" t="s">
        <v>614</v>
      </c>
      <c r="P57" s="339" t="s">
        <v>591</v>
      </c>
      <c r="Q57" s="339" t="s">
        <v>590</v>
      </c>
      <c r="R57" s="339" t="s">
        <v>633</v>
      </c>
      <c r="S57" s="339"/>
      <c r="U57" s="365">
        <f t="shared" ref="U57:AB57" si="37">U58+U59</f>
        <v>3499</v>
      </c>
      <c r="V57" s="365">
        <f t="shared" si="37"/>
        <v>1710</v>
      </c>
      <c r="W57" s="365">
        <f t="shared" si="37"/>
        <v>1467</v>
      </c>
      <c r="X57" s="365">
        <f t="shared" si="37"/>
        <v>998</v>
      </c>
      <c r="Y57" s="365">
        <f t="shared" si="37"/>
        <v>43</v>
      </c>
      <c r="Z57" s="365">
        <f t="shared" si="37"/>
        <v>601</v>
      </c>
      <c r="AA57" s="365">
        <f t="shared" si="37"/>
        <v>2534</v>
      </c>
      <c r="AB57" s="365">
        <f t="shared" si="37"/>
        <v>3048</v>
      </c>
    </row>
    <row r="58" spans="1:28" ht="20.100000000000001" customHeight="1">
      <c r="A58" s="347" t="s">
        <v>634</v>
      </c>
      <c r="B58" s="344" t="s">
        <v>604</v>
      </c>
      <c r="C58" s="345">
        <f>(SNN!I28+SNN!I31+SNN!I34)/1000000</f>
        <v>24339.653450999998</v>
      </c>
      <c r="D58" s="345">
        <f>(SNN!J28+SNN!J31+SNN!J34)/1000000</f>
        <v>23995.667291000002</v>
      </c>
      <c r="E58" s="345">
        <f>(SNN!K28+SNN!K31+SNN!K34)/1000000</f>
        <v>21115.204548999998</v>
      </c>
      <c r="F58" s="345">
        <f t="shared" si="35"/>
        <v>98.586725317628293</v>
      </c>
      <c r="G58" s="345">
        <f t="shared" si="36"/>
        <v>113.64165208684385</v>
      </c>
      <c r="H58" s="351"/>
      <c r="I58" s="351">
        <f>300122009+1257412297+1009631676+957319869+668038923+409517320</f>
        <v>4602042094</v>
      </c>
      <c r="J58" s="351">
        <f>14782+5248+797</f>
        <v>20827</v>
      </c>
      <c r="K58" s="351">
        <v>1848996086</v>
      </c>
      <c r="L58" s="352">
        <v>921504328</v>
      </c>
      <c r="M58" s="353">
        <v>187848043</v>
      </c>
      <c r="N58" s="353">
        <v>818801300</v>
      </c>
      <c r="O58" s="353"/>
      <c r="P58" s="353"/>
      <c r="Q58" s="353">
        <v>320794078</v>
      </c>
      <c r="R58" s="353">
        <v>1047583294</v>
      </c>
      <c r="S58" s="353"/>
      <c r="U58" s="325">
        <v>1093</v>
      </c>
      <c r="V58" s="326">
        <v>983</v>
      </c>
      <c r="W58" s="326">
        <v>950</v>
      </c>
      <c r="X58" s="326">
        <v>668</v>
      </c>
      <c r="Y58" s="326"/>
      <c r="Z58" s="327">
        <v>311</v>
      </c>
      <c r="AA58" s="327"/>
      <c r="AB58" s="327">
        <v>287</v>
      </c>
    </row>
    <row r="59" spans="1:28" ht="20.100000000000001" customHeight="1">
      <c r="A59" s="347" t="s">
        <v>635</v>
      </c>
      <c r="B59" s="344" t="s">
        <v>621</v>
      </c>
      <c r="C59" s="345">
        <f>(SNN!I29+SNN!I32+SNN!I35+SNN!I38)/1000000</f>
        <v>36603.661440000003</v>
      </c>
      <c r="D59" s="345">
        <f>(SNN!J29+SNN!J32+SNN!J35+SNN!J38)/1000000</f>
        <v>32746.026043000002</v>
      </c>
      <c r="E59" s="345">
        <f>(SNN!K29+SNN!K32+SNN!K35+SNN!K38)/1000000</f>
        <v>27665.846312000001</v>
      </c>
      <c r="F59" s="345">
        <f t="shared" si="35"/>
        <v>89.46106688446082</v>
      </c>
      <c r="G59" s="345">
        <f t="shared" si="36"/>
        <v>118.36263989074676</v>
      </c>
      <c r="H59" s="351"/>
      <c r="I59" s="351">
        <f>143500500+2416352000+215831934+224954745+1000888063+193983774+1090528260+156800000+291117118+2665401366</f>
        <v>8399357760</v>
      </c>
      <c r="J59" s="351"/>
      <c r="K59" s="351">
        <v>608419600</v>
      </c>
      <c r="L59" s="352">
        <v>989585767</v>
      </c>
      <c r="M59" s="353">
        <v>34598634</v>
      </c>
      <c r="N59" s="353">
        <v>736938500</v>
      </c>
      <c r="O59" s="353">
        <v>172587185</v>
      </c>
      <c r="P59" s="353">
        <v>111705700</v>
      </c>
      <c r="Q59" s="353">
        <v>409099162</v>
      </c>
      <c r="R59" s="353">
        <v>1168835929</v>
      </c>
      <c r="S59" s="353"/>
      <c r="U59" s="325">
        <v>2406</v>
      </c>
      <c r="V59" s="326">
        <v>727</v>
      </c>
      <c r="W59" s="326">
        <v>517</v>
      </c>
      <c r="X59" s="326">
        <v>330</v>
      </c>
      <c r="Y59" s="326">
        <v>43</v>
      </c>
      <c r="Z59" s="327">
        <v>290</v>
      </c>
      <c r="AA59" s="327">
        <v>2534</v>
      </c>
      <c r="AB59" s="327">
        <v>2761</v>
      </c>
    </row>
    <row r="60" spans="1:28" ht="20.100000000000001" customHeight="1">
      <c r="A60" s="308">
        <v>7</v>
      </c>
      <c r="B60" s="328" t="s">
        <v>636</v>
      </c>
      <c r="C60" s="335">
        <f>C61+C62</f>
        <v>178.15</v>
      </c>
      <c r="D60" s="335">
        <f>D61+D62</f>
        <v>168.521376</v>
      </c>
      <c r="E60" s="335">
        <f>E61+E62</f>
        <v>276.29636099999999</v>
      </c>
      <c r="F60" s="335">
        <f t="shared" si="35"/>
        <v>94.595215268032547</v>
      </c>
      <c r="G60" s="335">
        <f t="shared" si="36"/>
        <v>60.99297703019694</v>
      </c>
      <c r="H60" s="337"/>
      <c r="I60" s="337"/>
      <c r="J60" s="337"/>
      <c r="K60" s="337"/>
      <c r="L60" s="338" t="s">
        <v>613</v>
      </c>
      <c r="M60" s="339"/>
      <c r="N60" s="339"/>
      <c r="O60" s="339"/>
      <c r="P60" s="339"/>
      <c r="Q60" s="339"/>
      <c r="R60" s="339"/>
      <c r="S60" s="339"/>
      <c r="U60" s="365">
        <f t="shared" ref="U60:AB60" si="38">U61+U62</f>
        <v>0</v>
      </c>
      <c r="V60" s="365">
        <f t="shared" si="38"/>
        <v>0</v>
      </c>
      <c r="W60" s="365">
        <f t="shared" si="38"/>
        <v>25</v>
      </c>
      <c r="X60" s="365">
        <f t="shared" si="38"/>
        <v>0</v>
      </c>
      <c r="Y60" s="365">
        <f t="shared" si="38"/>
        <v>0</v>
      </c>
      <c r="Z60" s="365">
        <f t="shared" si="38"/>
        <v>0</v>
      </c>
      <c r="AA60" s="365">
        <f t="shared" si="38"/>
        <v>0</v>
      </c>
      <c r="AB60" s="365">
        <f t="shared" si="38"/>
        <v>0</v>
      </c>
    </row>
    <row r="61" spans="1:28" ht="20.100000000000001" customHeight="1">
      <c r="A61" s="347" t="s">
        <v>637</v>
      </c>
      <c r="B61" s="344" t="s">
        <v>604</v>
      </c>
      <c r="C61" s="345"/>
      <c r="D61" s="345"/>
      <c r="E61" s="350"/>
      <c r="F61" s="345"/>
      <c r="G61" s="335"/>
      <c r="H61" s="337"/>
      <c r="I61" s="337"/>
      <c r="J61" s="337"/>
      <c r="K61" s="337"/>
      <c r="M61" s="339"/>
      <c r="N61" s="339"/>
      <c r="O61" s="339"/>
      <c r="P61" s="339"/>
      <c r="Q61" s="339"/>
      <c r="R61" s="339"/>
      <c r="S61" s="339"/>
      <c r="U61" s="325"/>
      <c r="V61" s="326"/>
      <c r="W61" s="327"/>
      <c r="X61" s="327"/>
      <c r="Y61" s="326"/>
      <c r="Z61" s="327"/>
      <c r="AA61" s="327"/>
      <c r="AB61" s="327"/>
    </row>
    <row r="62" spans="1:28" ht="20.100000000000001" customHeight="1">
      <c r="A62" s="347" t="s">
        <v>638</v>
      </c>
      <c r="B62" s="344" t="s">
        <v>621</v>
      </c>
      <c r="C62" s="345">
        <f>SNN!I39/1000000</f>
        <v>178.15</v>
      </c>
      <c r="D62" s="345">
        <f>SNN!J39/1000000</f>
        <v>168.521376</v>
      </c>
      <c r="E62" s="345">
        <f>SNN!K39/1000000</f>
        <v>276.29636099999999</v>
      </c>
      <c r="F62" s="345">
        <f t="shared" si="35"/>
        <v>94.595215268032547</v>
      </c>
      <c r="G62" s="345">
        <f t="shared" si="36"/>
        <v>60.99297703019694</v>
      </c>
      <c r="H62" s="351"/>
      <c r="I62" s="351">
        <v>69070000</v>
      </c>
      <c r="J62" s="351"/>
      <c r="K62" s="351"/>
      <c r="L62" s="338">
        <v>25677308</v>
      </c>
      <c r="M62" s="353"/>
      <c r="N62" s="353"/>
      <c r="O62" s="353"/>
      <c r="P62" s="353"/>
      <c r="Q62" s="353"/>
      <c r="R62" s="353"/>
      <c r="S62" s="353"/>
      <c r="U62" s="325"/>
      <c r="V62" s="326"/>
      <c r="W62" s="327">
        <v>25</v>
      </c>
      <c r="X62" s="327"/>
      <c r="Y62" s="326"/>
      <c r="Z62" s="327"/>
      <c r="AA62" s="327"/>
      <c r="AB62" s="327"/>
    </row>
    <row r="63" spans="1:28" ht="20.100000000000001" customHeight="1">
      <c r="A63" s="308">
        <v>8</v>
      </c>
      <c r="B63" s="328" t="s">
        <v>639</v>
      </c>
      <c r="C63" s="335"/>
      <c r="D63" s="335"/>
      <c r="E63" s="336"/>
      <c r="F63" s="335"/>
      <c r="G63" s="335"/>
      <c r="H63" s="311"/>
      <c r="I63" s="311"/>
      <c r="J63" s="311"/>
      <c r="K63" s="311"/>
      <c r="L63" s="312"/>
      <c r="M63" s="296"/>
      <c r="N63" s="296"/>
      <c r="O63" s="296"/>
      <c r="P63" s="296"/>
      <c r="Q63" s="296"/>
      <c r="R63" s="296"/>
      <c r="S63" s="296"/>
      <c r="U63" s="325"/>
      <c r="V63" s="326"/>
      <c r="W63" s="327"/>
      <c r="X63" s="327"/>
      <c r="Y63" s="326"/>
      <c r="Z63" s="327"/>
      <c r="AA63" s="327"/>
      <c r="AB63" s="327"/>
    </row>
    <row r="64" spans="1:28" ht="20.100000000000001" customHeight="1">
      <c r="A64" s="347" t="s">
        <v>640</v>
      </c>
      <c r="B64" s="344" t="s">
        <v>604</v>
      </c>
      <c r="C64" s="335"/>
      <c r="D64" s="335"/>
      <c r="E64" s="336"/>
      <c r="F64" s="335"/>
      <c r="G64" s="335"/>
      <c r="H64" s="311"/>
      <c r="I64" s="311"/>
      <c r="J64" s="311"/>
      <c r="K64" s="311"/>
      <c r="L64" s="312"/>
      <c r="M64" s="296"/>
      <c r="N64" s="296"/>
      <c r="O64" s="296"/>
      <c r="P64" s="296"/>
      <c r="Q64" s="296"/>
      <c r="R64" s="296"/>
      <c r="S64" s="296"/>
      <c r="U64" s="325"/>
      <c r="V64" s="326"/>
      <c r="W64" s="327"/>
      <c r="X64" s="327"/>
      <c r="Y64" s="326"/>
      <c r="Z64" s="327"/>
      <c r="AA64" s="327"/>
      <c r="AB64" s="327"/>
    </row>
    <row r="65" spans="1:28" ht="20.100000000000001" customHeight="1">
      <c r="A65" s="347" t="s">
        <v>641</v>
      </c>
      <c r="B65" s="344" t="s">
        <v>621</v>
      </c>
      <c r="C65" s="335"/>
      <c r="D65" s="335"/>
      <c r="E65" s="336"/>
      <c r="F65" s="335"/>
      <c r="G65" s="335"/>
      <c r="H65" s="311"/>
      <c r="I65" s="311"/>
      <c r="J65" s="311"/>
      <c r="K65" s="311"/>
      <c r="L65" s="312"/>
      <c r="M65" s="296"/>
      <c r="N65" s="296"/>
      <c r="O65" s="296"/>
      <c r="P65" s="296"/>
      <c r="Q65" s="296"/>
      <c r="R65" s="296"/>
      <c r="S65" s="296"/>
      <c r="U65" s="325"/>
      <c r="V65" s="326"/>
      <c r="W65" s="327"/>
      <c r="X65" s="327"/>
      <c r="Y65" s="326"/>
      <c r="Z65" s="327"/>
      <c r="AA65" s="327"/>
      <c r="AB65" s="327"/>
    </row>
    <row r="66" spans="1:28" ht="38.25" customHeight="1">
      <c r="A66" s="308">
        <v>9</v>
      </c>
      <c r="B66" s="328" t="s">
        <v>642</v>
      </c>
      <c r="C66" s="335"/>
      <c r="D66" s="335"/>
      <c r="E66" s="336"/>
      <c r="F66" s="335"/>
      <c r="G66" s="335"/>
      <c r="H66" s="311"/>
      <c r="I66" s="311"/>
      <c r="J66" s="311"/>
      <c r="K66" s="311"/>
      <c r="L66" s="312"/>
      <c r="M66" s="296"/>
      <c r="N66" s="296"/>
      <c r="O66" s="296"/>
      <c r="P66" s="296"/>
      <c r="Q66" s="296"/>
      <c r="R66" s="296"/>
      <c r="S66" s="296"/>
      <c r="U66" s="325"/>
      <c r="V66" s="326"/>
      <c r="W66" s="327"/>
      <c r="X66" s="327"/>
      <c r="Y66" s="326"/>
      <c r="Z66" s="327"/>
      <c r="AA66" s="327"/>
      <c r="AB66" s="327"/>
    </row>
    <row r="67" spans="1:28" ht="20.100000000000001" customHeight="1">
      <c r="A67" s="347" t="s">
        <v>643</v>
      </c>
      <c r="B67" s="344" t="s">
        <v>604</v>
      </c>
      <c r="C67" s="335"/>
      <c r="D67" s="335"/>
      <c r="E67" s="336"/>
      <c r="F67" s="335"/>
      <c r="G67" s="335"/>
      <c r="H67" s="311"/>
      <c r="I67" s="311"/>
      <c r="J67" s="311"/>
      <c r="K67" s="311"/>
      <c r="L67" s="312"/>
      <c r="M67" s="296"/>
      <c r="N67" s="296"/>
      <c r="O67" s="296"/>
      <c r="P67" s="296"/>
      <c r="Q67" s="296"/>
      <c r="R67" s="296"/>
      <c r="S67" s="296"/>
      <c r="U67" s="325"/>
      <c r="V67" s="326"/>
      <c r="W67" s="327"/>
      <c r="X67" s="327"/>
      <c r="Y67" s="326"/>
      <c r="Z67" s="327"/>
      <c r="AA67" s="327"/>
      <c r="AB67" s="327"/>
    </row>
    <row r="68" spans="1:28" ht="20.100000000000001" customHeight="1">
      <c r="A68" s="347" t="s">
        <v>644</v>
      </c>
      <c r="B68" s="344" t="s">
        <v>621</v>
      </c>
      <c r="C68" s="335"/>
      <c r="D68" s="335"/>
      <c r="E68" s="336"/>
      <c r="F68" s="335"/>
      <c r="G68" s="335"/>
      <c r="H68" s="311"/>
      <c r="I68" s="311"/>
      <c r="J68" s="311"/>
      <c r="K68" s="311"/>
      <c r="L68" s="312"/>
      <c r="M68" s="296"/>
      <c r="N68" s="296"/>
      <c r="O68" s="296"/>
      <c r="P68" s="296"/>
      <c r="Q68" s="296"/>
      <c r="R68" s="296"/>
      <c r="S68" s="296"/>
      <c r="U68" s="325"/>
      <c r="V68" s="326"/>
      <c r="W68" s="327"/>
      <c r="X68" s="327"/>
      <c r="Y68" s="326"/>
      <c r="Z68" s="327"/>
      <c r="AA68" s="327"/>
      <c r="AB68" s="327"/>
    </row>
    <row r="69" spans="1:28" ht="20.100000000000001" customHeight="1">
      <c r="A69" s="308">
        <v>10</v>
      </c>
      <c r="B69" s="328" t="s">
        <v>645</v>
      </c>
      <c r="C69" s="335"/>
      <c r="D69" s="335"/>
      <c r="E69" s="336"/>
      <c r="F69" s="335"/>
      <c r="G69" s="335"/>
      <c r="H69" s="311"/>
      <c r="I69" s="311"/>
      <c r="J69" s="311">
        <v>107</v>
      </c>
      <c r="K69" s="311"/>
      <c r="L69" s="312"/>
      <c r="M69" s="296"/>
      <c r="N69" s="296"/>
      <c r="O69" s="296"/>
      <c r="P69" s="296"/>
      <c r="Q69" s="296"/>
      <c r="R69" s="296"/>
      <c r="S69" s="296"/>
      <c r="U69" s="325"/>
      <c r="V69" s="326"/>
      <c r="W69" s="327"/>
      <c r="X69" s="327"/>
      <c r="Y69" s="326"/>
      <c r="Z69" s="327"/>
      <c r="AA69" s="327"/>
      <c r="AB69" s="327"/>
    </row>
    <row r="70" spans="1:28" ht="20.100000000000001" customHeight="1">
      <c r="A70" s="347" t="s">
        <v>646</v>
      </c>
      <c r="B70" s="344" t="s">
        <v>604</v>
      </c>
      <c r="C70" s="335"/>
      <c r="D70" s="335"/>
      <c r="E70" s="336"/>
      <c r="F70" s="335"/>
      <c r="G70" s="335"/>
      <c r="H70" s="311"/>
      <c r="I70" s="311"/>
      <c r="J70" s="311"/>
      <c r="K70" s="311"/>
      <c r="L70" s="312"/>
      <c r="M70" s="296"/>
      <c r="N70" s="296"/>
      <c r="O70" s="296"/>
      <c r="P70" s="296"/>
      <c r="Q70" s="296"/>
      <c r="R70" s="296"/>
      <c r="S70" s="296"/>
      <c r="U70" s="325"/>
      <c r="V70" s="326"/>
      <c r="W70" s="327"/>
      <c r="X70" s="327"/>
      <c r="Y70" s="326"/>
      <c r="Z70" s="327"/>
      <c r="AA70" s="327"/>
      <c r="AB70" s="327"/>
    </row>
    <row r="71" spans="1:28" ht="20.100000000000001" customHeight="1">
      <c r="A71" s="347" t="s">
        <v>647</v>
      </c>
      <c r="B71" s="344" t="s">
        <v>621</v>
      </c>
      <c r="C71" s="335"/>
      <c r="D71" s="335"/>
      <c r="E71" s="336"/>
      <c r="F71" s="335"/>
      <c r="G71" s="335"/>
      <c r="H71" s="311"/>
      <c r="I71" s="311"/>
      <c r="J71" s="311"/>
      <c r="K71" s="311"/>
      <c r="L71" s="312"/>
      <c r="M71" s="296"/>
      <c r="N71" s="296"/>
      <c r="O71" s="296"/>
      <c r="P71" s="296"/>
      <c r="Q71" s="296"/>
      <c r="R71" s="296"/>
      <c r="S71" s="296"/>
      <c r="U71" s="325"/>
      <c r="V71" s="326"/>
      <c r="W71" s="327"/>
      <c r="X71" s="327"/>
      <c r="Y71" s="326"/>
      <c r="Z71" s="327"/>
      <c r="AA71" s="327"/>
      <c r="AB71" s="327"/>
    </row>
    <row r="72" spans="1:28" ht="20.100000000000001" customHeight="1">
      <c r="A72" s="308">
        <v>11</v>
      </c>
      <c r="B72" s="328" t="s">
        <v>648</v>
      </c>
      <c r="C72" s="335">
        <f>C73+C74</f>
        <v>11864.583500000001</v>
      </c>
      <c r="D72" s="335">
        <f>D73+D74</f>
        <v>11601.608396</v>
      </c>
      <c r="E72" s="336">
        <f>E73+E74</f>
        <v>14222.785844</v>
      </c>
      <c r="F72" s="335">
        <f>D72/C72*100</f>
        <v>97.783528566342</v>
      </c>
      <c r="G72" s="335">
        <f>E72/D72*100</f>
        <v>122.59322465067628</v>
      </c>
      <c r="H72" s="311"/>
      <c r="I72" s="311"/>
      <c r="J72" s="311"/>
      <c r="K72" s="311"/>
      <c r="L72" s="312"/>
      <c r="N72" s="296"/>
      <c r="O72" s="296"/>
      <c r="P72" s="296"/>
      <c r="Q72" s="296"/>
      <c r="R72" s="296"/>
      <c r="S72" s="296"/>
      <c r="U72" s="325"/>
      <c r="V72" s="326"/>
      <c r="W72" s="327"/>
      <c r="X72" s="327"/>
      <c r="Y72" s="326"/>
      <c r="Z72" s="327"/>
      <c r="AA72" s="327"/>
      <c r="AB72" s="327"/>
    </row>
    <row r="73" spans="1:28" ht="20.100000000000001" customHeight="1">
      <c r="A73" s="347" t="s">
        <v>649</v>
      </c>
      <c r="B73" s="344" t="s">
        <v>650</v>
      </c>
      <c r="C73" s="345">
        <f>SNN!I52/1000000</f>
        <v>10861</v>
      </c>
      <c r="D73" s="345">
        <f>SNN!J52/1000000</f>
        <v>10861</v>
      </c>
      <c r="E73" s="345">
        <f>SNN!K52/1000000</f>
        <v>10999</v>
      </c>
      <c r="F73" s="345">
        <f>D73/C73*100</f>
        <v>100</v>
      </c>
      <c r="G73" s="345">
        <f>E73/D73*100</f>
        <v>101.27060123377221</v>
      </c>
      <c r="H73" s="348"/>
      <c r="I73" s="348"/>
      <c r="J73" s="348"/>
      <c r="K73" s="348">
        <f>SUM(K76:P76)</f>
        <v>3227812572</v>
      </c>
      <c r="L73" s="349"/>
      <c r="M73" s="299"/>
      <c r="N73" s="299"/>
      <c r="O73" s="299"/>
      <c r="P73" s="299"/>
      <c r="Q73" s="299"/>
      <c r="R73" s="299"/>
      <c r="S73" s="299"/>
      <c r="U73" s="325"/>
      <c r="V73" s="326"/>
      <c r="W73" s="327"/>
      <c r="X73" s="327"/>
      <c r="Y73" s="326"/>
      <c r="Z73" s="327"/>
      <c r="AA73" s="327"/>
      <c r="AB73" s="327"/>
    </row>
    <row r="74" spans="1:28" ht="20.100000000000001" customHeight="1">
      <c r="A74" s="347" t="s">
        <v>651</v>
      </c>
      <c r="B74" s="344" t="s">
        <v>648</v>
      </c>
      <c r="C74" s="361">
        <f>C75+C76</f>
        <v>1003.5835</v>
      </c>
      <c r="D74" s="345">
        <f>D75+D76</f>
        <v>740.60839599999997</v>
      </c>
      <c r="E74" s="350">
        <f>E75+E76</f>
        <v>3223.785844</v>
      </c>
      <c r="F74" s="345">
        <f t="shared" ref="F74:G76" si="39">D74/C74*100</f>
        <v>73.796390235590763</v>
      </c>
      <c r="G74" s="345">
        <f t="shared" si="39"/>
        <v>435.28885999828714</v>
      </c>
      <c r="H74" s="348"/>
      <c r="I74" s="348"/>
      <c r="J74" s="348"/>
      <c r="K74" s="348" t="s">
        <v>586</v>
      </c>
      <c r="L74" s="349" t="s">
        <v>613</v>
      </c>
      <c r="M74" s="296" t="s">
        <v>592</v>
      </c>
      <c r="N74" s="299" t="s">
        <v>591</v>
      </c>
      <c r="O74" s="299" t="s">
        <v>614</v>
      </c>
      <c r="P74" s="299"/>
      <c r="Q74" s="299"/>
      <c r="R74" s="299"/>
      <c r="S74" s="299"/>
      <c r="U74" s="325"/>
      <c r="V74" s="326"/>
      <c r="W74" s="327"/>
      <c r="X74" s="327"/>
      <c r="Y74" s="326"/>
      <c r="Z74" s="327"/>
      <c r="AA74" s="327"/>
      <c r="AB74" s="327"/>
    </row>
    <row r="75" spans="1:28" ht="36" customHeight="1">
      <c r="A75" s="347" t="s">
        <v>14</v>
      </c>
      <c r="B75" s="344" t="s">
        <v>652</v>
      </c>
      <c r="C75" s="345">
        <f>SNN!I56/1000000</f>
        <v>28</v>
      </c>
      <c r="D75" s="345">
        <f>SNN!J56/1000000</f>
        <v>28</v>
      </c>
      <c r="E75" s="345">
        <f>SNN!K56/1000000</f>
        <v>30</v>
      </c>
      <c r="F75" s="345">
        <f t="shared" si="39"/>
        <v>100</v>
      </c>
      <c r="G75" s="345">
        <f t="shared" si="39"/>
        <v>107.14285714285714</v>
      </c>
      <c r="H75" s="348"/>
      <c r="I75" s="348"/>
      <c r="J75" s="348"/>
      <c r="K75" s="348"/>
      <c r="L75" s="349"/>
      <c r="M75" s="296"/>
      <c r="N75" s="299">
        <v>0</v>
      </c>
      <c r="O75" s="299"/>
      <c r="P75" s="299"/>
      <c r="Q75" s="299"/>
      <c r="R75" s="299"/>
      <c r="S75" s="299"/>
      <c r="U75" s="325"/>
      <c r="V75" s="326"/>
      <c r="W75" s="327"/>
      <c r="X75" s="327"/>
      <c r="Y75" s="326"/>
      <c r="Z75" s="327"/>
      <c r="AA75" s="327"/>
      <c r="AB75" s="327"/>
    </row>
    <row r="76" spans="1:28" ht="20.100000000000001" customHeight="1">
      <c r="A76" s="347" t="s">
        <v>15</v>
      </c>
      <c r="B76" s="344" t="s">
        <v>653</v>
      </c>
      <c r="C76" s="345">
        <f>SNN!I59/1000000</f>
        <v>975.58349999999996</v>
      </c>
      <c r="D76" s="345">
        <f>SNN!J59/1000000</f>
        <v>712.60839599999997</v>
      </c>
      <c r="E76" s="345">
        <f>SNN!K59/1000000</f>
        <v>3193.785844</v>
      </c>
      <c r="F76" s="345">
        <f t="shared" si="39"/>
        <v>73.044326395434126</v>
      </c>
      <c r="G76" s="345">
        <f t="shared" si="39"/>
        <v>448.18246065122145</v>
      </c>
      <c r="H76" s="348"/>
      <c r="I76" s="348"/>
      <c r="J76" s="348"/>
      <c r="K76" s="348">
        <v>12000000</v>
      </c>
      <c r="L76" s="349">
        <v>10200000</v>
      </c>
      <c r="M76" s="299">
        <v>3060612572</v>
      </c>
      <c r="N76" s="372">
        <v>135000000</v>
      </c>
      <c r="O76" s="299">
        <v>10000000</v>
      </c>
      <c r="P76" s="299"/>
      <c r="Q76" s="299"/>
      <c r="R76" s="299"/>
      <c r="S76" s="299"/>
      <c r="U76" s="325"/>
      <c r="V76" s="326"/>
      <c r="W76" s="327"/>
      <c r="X76" s="327"/>
      <c r="Y76" s="326"/>
      <c r="Z76" s="327"/>
      <c r="AA76" s="327"/>
      <c r="AB76" s="327"/>
    </row>
    <row r="77" spans="1:28" ht="15.75">
      <c r="A77" s="308" t="s">
        <v>5</v>
      </c>
      <c r="B77" s="328" t="s">
        <v>654</v>
      </c>
      <c r="C77" s="335"/>
      <c r="D77" s="335"/>
      <c r="E77" s="336"/>
      <c r="F77" s="335"/>
      <c r="G77" s="335"/>
      <c r="H77" s="311"/>
      <c r="I77" s="311"/>
      <c r="J77" s="311"/>
      <c r="K77" s="311"/>
      <c r="L77" s="312"/>
      <c r="M77" s="296"/>
      <c r="N77" s="296"/>
      <c r="O77" s="296"/>
      <c r="P77" s="296"/>
      <c r="Q77" s="296"/>
      <c r="R77" s="296"/>
      <c r="S77" s="296"/>
      <c r="U77" s="325"/>
      <c r="V77" s="326"/>
      <c r="W77" s="327"/>
      <c r="X77" s="327"/>
      <c r="Y77" s="326"/>
      <c r="Z77" s="327"/>
      <c r="AA77" s="327"/>
      <c r="AB77" s="327"/>
    </row>
    <row r="78" spans="1:28" ht="15.75">
      <c r="A78" s="308" t="s">
        <v>90</v>
      </c>
      <c r="B78" s="328" t="s">
        <v>655</v>
      </c>
      <c r="C78" s="335"/>
      <c r="D78" s="335"/>
      <c r="E78" s="336"/>
      <c r="F78" s="335"/>
      <c r="G78" s="335"/>
      <c r="H78" s="311"/>
      <c r="I78" s="311"/>
      <c r="J78" s="311"/>
      <c r="K78" s="311"/>
      <c r="L78" s="312"/>
      <c r="M78" s="296"/>
      <c r="N78" s="296"/>
      <c r="O78" s="296"/>
      <c r="P78" s="296"/>
      <c r="Q78" s="296"/>
      <c r="R78" s="296"/>
      <c r="S78" s="296"/>
      <c r="U78" s="325"/>
      <c r="V78" s="326"/>
      <c r="W78" s="327"/>
      <c r="X78" s="327"/>
      <c r="Y78" s="326"/>
      <c r="Z78" s="327"/>
      <c r="AA78" s="327"/>
      <c r="AB78" s="327"/>
    </row>
    <row r="80" spans="1:28">
      <c r="D80" s="738"/>
      <c r="E80" s="738"/>
      <c r="F80" s="738"/>
      <c r="G80" s="738"/>
      <c r="H80" s="373"/>
      <c r="I80" s="373"/>
      <c r="J80" s="373"/>
      <c r="K80" s="373"/>
      <c r="L80" s="374"/>
      <c r="M80" s="375"/>
      <c r="N80" s="375"/>
      <c r="O80" s="375"/>
      <c r="P80" s="375"/>
      <c r="Q80" s="375"/>
      <c r="R80" s="375"/>
      <c r="S80" s="375"/>
    </row>
    <row r="81" spans="2:19">
      <c r="D81" s="739"/>
      <c r="E81" s="739"/>
      <c r="F81" s="739"/>
      <c r="G81" s="739"/>
      <c r="H81" s="279"/>
      <c r="I81" s="279"/>
      <c r="J81" s="279"/>
      <c r="K81" s="279"/>
      <c r="L81" s="280"/>
      <c r="M81" s="281"/>
      <c r="N81" s="281"/>
      <c r="O81" s="281"/>
      <c r="P81" s="281"/>
      <c r="Q81" s="281"/>
      <c r="R81" s="281"/>
      <c r="S81" s="281"/>
    </row>
    <row r="82" spans="2:19">
      <c r="B82" s="578"/>
      <c r="D82" s="738"/>
      <c r="E82" s="738"/>
      <c r="F82" s="738"/>
      <c r="G82" s="738"/>
      <c r="H82" s="373"/>
      <c r="I82" s="373"/>
      <c r="J82" s="373"/>
      <c r="K82" s="373"/>
      <c r="L82" s="374"/>
      <c r="M82" s="375"/>
      <c r="N82" s="375"/>
      <c r="O82" s="375"/>
      <c r="P82" s="375"/>
      <c r="Q82" s="375"/>
      <c r="R82" s="375"/>
      <c r="S82" s="375"/>
    </row>
    <row r="83" spans="2:19">
      <c r="B83" s="578"/>
      <c r="D83" s="739"/>
      <c r="E83" s="739"/>
      <c r="F83" s="739"/>
      <c r="G83" s="739"/>
      <c r="H83" s="279"/>
      <c r="I83" s="279"/>
      <c r="J83" s="279"/>
      <c r="K83" s="279"/>
      <c r="L83" s="280"/>
      <c r="M83" s="281"/>
      <c r="N83" s="281"/>
      <c r="O83" s="281"/>
      <c r="P83" s="281"/>
      <c r="Q83" s="281"/>
      <c r="R83" s="281"/>
      <c r="S83" s="281"/>
    </row>
    <row r="84" spans="2:19">
      <c r="B84" s="578"/>
    </row>
    <row r="85" spans="2:19">
      <c r="B85" s="578"/>
    </row>
    <row r="86" spans="2:19">
      <c r="B86" s="578"/>
    </row>
    <row r="87" spans="2:19">
      <c r="B87" s="578"/>
    </row>
    <row r="88" spans="2:19">
      <c r="B88" s="578"/>
    </row>
    <row r="89" spans="2:19">
      <c r="B89" s="578"/>
    </row>
    <row r="90" spans="2:19">
      <c r="B90" s="578"/>
    </row>
    <row r="93" spans="2:19">
      <c r="B93" s="579"/>
    </row>
    <row r="95" spans="2:19">
      <c r="B95" s="580"/>
    </row>
    <row r="96" spans="2:19">
      <c r="B96" s="578"/>
    </row>
    <row r="98" spans="2:2">
      <c r="B98" s="578"/>
    </row>
  </sheetData>
  <sheetProtection formatCells="0" formatColumns="0" formatRows="0" insertColumns="0" insertRows="0" insertHyperlinks="0" deleteColumns="0" deleteRows="0" sort="0" autoFilter="0" pivotTables="0"/>
  <autoFilter ref="A12:AB78" xr:uid="{3C991A8A-BCC8-492B-8B71-F8928746552C}"/>
  <mergeCells count="17">
    <mergeCell ref="D80:G80"/>
    <mergeCell ref="D81:G81"/>
    <mergeCell ref="D82:G82"/>
    <mergeCell ref="D83:G83"/>
    <mergeCell ref="A5:G5"/>
    <mergeCell ref="A6:G6"/>
    <mergeCell ref="A7:G7"/>
    <mergeCell ref="A9:G9"/>
    <mergeCell ref="A10:G10"/>
    <mergeCell ref="F11:G11"/>
    <mergeCell ref="A8:G8"/>
    <mergeCell ref="C4:G4"/>
    <mergeCell ref="A1:B1"/>
    <mergeCell ref="C1:G1"/>
    <mergeCell ref="A2:B2"/>
    <mergeCell ref="C2:G2"/>
    <mergeCell ref="C3:G3"/>
  </mergeCells>
  <pageMargins left="0.42" right="0" top="0.70866141732283472" bottom="0.76" header="0.31496062992125984" footer="0.31496062992125984"/>
  <pageSetup paperSize="9" scale="91" orientation="portrait" r:id="rId1"/>
  <headerFooter scaleWithDoc="0" alignWithMargins="0"/>
  <colBreaks count="1" manualBreakCount="1">
    <brk id="7"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360"/>
  <sheetViews>
    <sheetView topLeftCell="A3" workbookViewId="0">
      <pane xSplit="3" ySplit="5" topLeftCell="D8" activePane="bottomRight" state="frozen"/>
      <selection activeCell="A3" sqref="A3"/>
      <selection pane="topRight" activeCell="D3" sqref="D3"/>
      <selection pane="bottomLeft" activeCell="A8" sqref="A8"/>
      <selection pane="bottomRight" activeCell="F222" sqref="F222"/>
    </sheetView>
  </sheetViews>
  <sheetFormatPr defaultColWidth="10.28515625" defaultRowHeight="15"/>
  <cols>
    <col min="1" max="1" width="6" style="1" customWidth="1"/>
    <col min="2" max="2" width="55.28515625" style="1" customWidth="1"/>
    <col min="3" max="3" width="8.28515625" style="7" customWidth="1"/>
    <col min="4" max="4" width="8" style="6" customWidth="1"/>
    <col min="5" max="5" width="7.85546875" style="6" customWidth="1"/>
    <col min="6" max="6" width="8.28515625" style="8" customWidth="1"/>
    <col min="7" max="7" width="6.28515625" style="6" customWidth="1"/>
    <col min="8" max="8" width="6" style="6" customWidth="1"/>
    <col min="9" max="9" width="6.140625" style="6" customWidth="1"/>
    <col min="10" max="10" width="6.7109375" style="6" customWidth="1"/>
    <col min="11" max="11" width="7.140625" style="6" customWidth="1"/>
    <col min="12" max="13" width="6.7109375" style="6" customWidth="1"/>
    <col min="14" max="14" width="8.28515625" style="6" customWidth="1"/>
    <col min="15" max="15" width="8" style="6" customWidth="1"/>
    <col min="16" max="16" width="7.140625" style="6" customWidth="1"/>
    <col min="17" max="17" width="7.5703125" style="6" customWidth="1"/>
    <col min="18" max="18" width="6.42578125" style="6" customWidth="1"/>
    <col min="19" max="19" width="7.42578125" style="6" customWidth="1"/>
    <col min="20" max="21" width="7.140625" style="6" customWidth="1"/>
    <col min="22" max="22" width="8" style="6" customWidth="1"/>
    <col min="23" max="23" width="6" style="6" customWidth="1"/>
    <col min="24" max="24" width="6.42578125" style="6" customWidth="1"/>
    <col min="25" max="25" width="36.28515625" style="1" customWidth="1"/>
    <col min="26" max="16384" width="10.28515625" style="1"/>
  </cols>
  <sheetData>
    <row r="1" spans="1:25" ht="18.75">
      <c r="B1" s="2"/>
      <c r="C1" s="2"/>
      <c r="D1" s="752" t="s">
        <v>111</v>
      </c>
      <c r="E1" s="752"/>
      <c r="F1" s="752"/>
      <c r="G1" s="752"/>
      <c r="H1" s="752"/>
      <c r="I1" s="752"/>
      <c r="J1" s="752"/>
      <c r="K1" s="752"/>
      <c r="L1" s="752"/>
      <c r="M1" s="752"/>
      <c r="N1" s="752"/>
      <c r="O1" s="752"/>
      <c r="P1" s="752"/>
      <c r="Q1" s="752"/>
      <c r="R1" s="2"/>
      <c r="S1" s="2"/>
      <c r="T1" s="2"/>
      <c r="U1" s="2"/>
      <c r="V1" s="2"/>
      <c r="W1" s="2"/>
      <c r="X1" s="2"/>
      <c r="Y1" s="2"/>
    </row>
    <row r="2" spans="1:25" s="3" customFormat="1" ht="42.75" customHeight="1">
      <c r="B2" s="4"/>
      <c r="C2" s="4"/>
      <c r="D2" s="753" t="s">
        <v>112</v>
      </c>
      <c r="E2" s="753"/>
      <c r="F2" s="753"/>
      <c r="G2" s="753"/>
      <c r="H2" s="753"/>
      <c r="I2" s="753"/>
      <c r="J2" s="753"/>
      <c r="K2" s="753"/>
      <c r="L2" s="753"/>
      <c r="M2" s="753"/>
      <c r="N2" s="753"/>
      <c r="O2" s="753"/>
      <c r="P2" s="753"/>
      <c r="Q2" s="753"/>
      <c r="R2" s="4"/>
      <c r="S2" s="4"/>
      <c r="T2" s="4"/>
      <c r="U2" s="4"/>
      <c r="V2" s="4"/>
      <c r="W2" s="4"/>
      <c r="X2" s="4"/>
      <c r="Y2" s="4"/>
    </row>
    <row r="3" spans="1:25" ht="48.75" customHeight="1">
      <c r="B3" s="5"/>
      <c r="C3" s="5"/>
      <c r="D3" s="754" t="s">
        <v>113</v>
      </c>
      <c r="E3" s="754"/>
      <c r="F3" s="754"/>
      <c r="G3" s="754"/>
      <c r="H3" s="754"/>
      <c r="I3" s="754"/>
      <c r="J3" s="754"/>
      <c r="K3" s="754"/>
      <c r="L3" s="754"/>
      <c r="M3" s="754"/>
      <c r="N3" s="754"/>
      <c r="O3" s="754"/>
      <c r="P3" s="754"/>
      <c r="Q3" s="754"/>
      <c r="R3" s="5"/>
      <c r="S3" s="5"/>
      <c r="T3" s="5"/>
      <c r="U3" s="5"/>
      <c r="V3" s="5"/>
      <c r="W3" s="5"/>
      <c r="X3" s="5"/>
      <c r="Y3" s="5"/>
    </row>
    <row r="4" spans="1:25">
      <c r="B4" s="6"/>
      <c r="Q4" s="9" t="s">
        <v>114</v>
      </c>
    </row>
    <row r="5" spans="1:25" s="10" customFormat="1">
      <c r="A5" s="749" t="s">
        <v>2</v>
      </c>
      <c r="B5" s="749" t="s">
        <v>115</v>
      </c>
      <c r="C5" s="755" t="s">
        <v>116</v>
      </c>
      <c r="D5" s="745" t="s">
        <v>117</v>
      </c>
      <c r="E5" s="745" t="s">
        <v>118</v>
      </c>
      <c r="F5" s="747" t="s">
        <v>119</v>
      </c>
      <c r="G5" s="751"/>
      <c r="H5" s="751"/>
      <c r="I5" s="748"/>
      <c r="J5" s="745" t="s">
        <v>120</v>
      </c>
      <c r="K5" s="747" t="s">
        <v>119</v>
      </c>
      <c r="L5" s="751"/>
      <c r="M5" s="748"/>
      <c r="N5" s="745" t="s">
        <v>121</v>
      </c>
      <c r="O5" s="745" t="s">
        <v>122</v>
      </c>
      <c r="P5" s="747" t="s">
        <v>119</v>
      </c>
      <c r="Q5" s="748"/>
      <c r="R5" s="745" t="s">
        <v>123</v>
      </c>
      <c r="S5" s="745" t="s">
        <v>124</v>
      </c>
      <c r="T5" s="745" t="s">
        <v>125</v>
      </c>
      <c r="U5" s="745" t="s">
        <v>126</v>
      </c>
      <c r="V5" s="745" t="s">
        <v>127</v>
      </c>
      <c r="W5" s="747" t="s">
        <v>119</v>
      </c>
      <c r="X5" s="748"/>
      <c r="Y5" s="749" t="s">
        <v>128</v>
      </c>
    </row>
    <row r="6" spans="1:25" s="10" customFormat="1" ht="80.25" customHeight="1">
      <c r="A6" s="750"/>
      <c r="B6" s="750"/>
      <c r="C6" s="756"/>
      <c r="D6" s="746"/>
      <c r="E6" s="746"/>
      <c r="F6" s="11" t="s">
        <v>129</v>
      </c>
      <c r="G6" s="12" t="s">
        <v>130</v>
      </c>
      <c r="H6" s="12" t="s">
        <v>131</v>
      </c>
      <c r="I6" s="12" t="s">
        <v>132</v>
      </c>
      <c r="J6" s="746"/>
      <c r="K6" s="12" t="s">
        <v>133</v>
      </c>
      <c r="L6" s="12" t="s">
        <v>134</v>
      </c>
      <c r="M6" s="12" t="s">
        <v>135</v>
      </c>
      <c r="N6" s="746"/>
      <c r="O6" s="746"/>
      <c r="P6" s="12" t="s">
        <v>136</v>
      </c>
      <c r="Q6" s="12" t="s">
        <v>137</v>
      </c>
      <c r="R6" s="746"/>
      <c r="S6" s="746"/>
      <c r="T6" s="746"/>
      <c r="U6" s="746"/>
      <c r="V6" s="746"/>
      <c r="W6" s="12" t="s">
        <v>138</v>
      </c>
      <c r="X6" s="12" t="s">
        <v>139</v>
      </c>
      <c r="Y6" s="750"/>
    </row>
    <row r="7" spans="1:25" s="19" customFormat="1" ht="40.5" customHeight="1">
      <c r="A7" s="13" t="s">
        <v>89</v>
      </c>
      <c r="B7" s="13" t="s">
        <v>68</v>
      </c>
      <c r="C7" s="14" t="s">
        <v>109</v>
      </c>
      <c r="D7" s="15" t="s">
        <v>140</v>
      </c>
      <c r="E7" s="15" t="s">
        <v>141</v>
      </c>
      <c r="F7" s="16" t="s">
        <v>142</v>
      </c>
      <c r="G7" s="17" t="s">
        <v>143</v>
      </c>
      <c r="H7" s="17" t="s">
        <v>144</v>
      </c>
      <c r="I7" s="17" t="s">
        <v>145</v>
      </c>
      <c r="J7" s="15" t="s">
        <v>146</v>
      </c>
      <c r="K7" s="17" t="s">
        <v>147</v>
      </c>
      <c r="L7" s="17" t="s">
        <v>148</v>
      </c>
      <c r="M7" s="17" t="s">
        <v>149</v>
      </c>
      <c r="N7" s="18">
        <v>4</v>
      </c>
      <c r="O7" s="15" t="s">
        <v>150</v>
      </c>
      <c r="P7" s="18" t="s">
        <v>151</v>
      </c>
      <c r="Q7" s="18" t="s">
        <v>152</v>
      </c>
      <c r="R7" s="18">
        <v>6</v>
      </c>
      <c r="S7" s="18">
        <v>7</v>
      </c>
      <c r="T7" s="18">
        <v>8</v>
      </c>
      <c r="U7" s="18">
        <v>9</v>
      </c>
      <c r="V7" s="15" t="s">
        <v>153</v>
      </c>
      <c r="W7" s="18" t="s">
        <v>154</v>
      </c>
      <c r="X7" s="18" t="s">
        <v>155</v>
      </c>
      <c r="Y7" s="13">
        <v>11</v>
      </c>
    </row>
    <row r="8" spans="1:25" s="25" customFormat="1" ht="28.5" customHeight="1">
      <c r="A8" s="20"/>
      <c r="B8" s="21" t="s">
        <v>156</v>
      </c>
      <c r="C8" s="22"/>
      <c r="D8" s="23">
        <f>IF(D9=D53,D9,0)</f>
        <v>29980</v>
      </c>
      <c r="E8" s="23">
        <f t="shared" ref="E8:X8" si="0">IF(E9=E53,E9,0)</f>
        <v>2419</v>
      </c>
      <c r="F8" s="24">
        <f t="shared" si="0"/>
        <v>1942</v>
      </c>
      <c r="G8" s="23">
        <f t="shared" si="0"/>
        <v>20</v>
      </c>
      <c r="H8" s="23">
        <f t="shared" si="0"/>
        <v>285</v>
      </c>
      <c r="I8" s="23">
        <f t="shared" si="0"/>
        <v>172</v>
      </c>
      <c r="J8" s="23">
        <f t="shared" si="0"/>
        <v>3640</v>
      </c>
      <c r="K8" s="23">
        <f t="shared" si="0"/>
        <v>628</v>
      </c>
      <c r="L8" s="23">
        <f t="shared" si="0"/>
        <v>3000</v>
      </c>
      <c r="M8" s="23">
        <f t="shared" si="0"/>
        <v>12</v>
      </c>
      <c r="N8" s="23">
        <f t="shared" si="0"/>
        <v>70</v>
      </c>
      <c r="O8" s="23">
        <f t="shared" si="0"/>
        <v>10590</v>
      </c>
      <c r="P8" s="23">
        <f t="shared" si="0"/>
        <v>8781</v>
      </c>
      <c r="Q8" s="23">
        <f t="shared" si="0"/>
        <v>1809</v>
      </c>
      <c r="R8" s="23">
        <f t="shared" si="0"/>
        <v>247</v>
      </c>
      <c r="S8" s="23">
        <f t="shared" si="0"/>
        <v>8938</v>
      </c>
      <c r="T8" s="23">
        <f t="shared" si="0"/>
        <v>233</v>
      </c>
      <c r="U8" s="23">
        <f t="shared" si="0"/>
        <v>3429</v>
      </c>
      <c r="V8" s="23">
        <f t="shared" si="0"/>
        <v>414</v>
      </c>
      <c r="W8" s="23">
        <f t="shared" si="0"/>
        <v>386</v>
      </c>
      <c r="X8" s="23">
        <f t="shared" si="0"/>
        <v>28</v>
      </c>
      <c r="Y8" s="20"/>
    </row>
    <row r="9" spans="1:25" s="32" customFormat="1" ht="27.75" hidden="1" customHeight="1">
      <c r="A9" s="26" t="s">
        <v>11</v>
      </c>
      <c r="B9" s="27" t="s">
        <v>157</v>
      </c>
      <c r="C9" s="28"/>
      <c r="D9" s="29">
        <f>D10+D23+D32</f>
        <v>29980</v>
      </c>
      <c r="E9" s="29">
        <f t="shared" ref="E9:X9" si="1">E10+E23+E32</f>
        <v>2419</v>
      </c>
      <c r="F9" s="30">
        <f t="shared" si="1"/>
        <v>1942</v>
      </c>
      <c r="G9" s="29">
        <f t="shared" si="1"/>
        <v>20</v>
      </c>
      <c r="H9" s="29">
        <f t="shared" si="1"/>
        <v>285</v>
      </c>
      <c r="I9" s="29">
        <f t="shared" si="1"/>
        <v>172</v>
      </c>
      <c r="J9" s="29">
        <f t="shared" si="1"/>
        <v>3640</v>
      </c>
      <c r="K9" s="29">
        <f t="shared" si="1"/>
        <v>628</v>
      </c>
      <c r="L9" s="29">
        <f t="shared" si="1"/>
        <v>3000</v>
      </c>
      <c r="M9" s="29">
        <f t="shared" si="1"/>
        <v>12</v>
      </c>
      <c r="N9" s="29">
        <f t="shared" si="1"/>
        <v>70</v>
      </c>
      <c r="O9" s="29">
        <f t="shared" si="1"/>
        <v>10590</v>
      </c>
      <c r="P9" s="29">
        <f t="shared" si="1"/>
        <v>8781</v>
      </c>
      <c r="Q9" s="29">
        <f t="shared" si="1"/>
        <v>1809</v>
      </c>
      <c r="R9" s="29">
        <f t="shared" si="1"/>
        <v>247</v>
      </c>
      <c r="S9" s="29">
        <f t="shared" si="1"/>
        <v>8938</v>
      </c>
      <c r="T9" s="29">
        <f t="shared" si="1"/>
        <v>233</v>
      </c>
      <c r="U9" s="29">
        <f t="shared" si="1"/>
        <v>3429</v>
      </c>
      <c r="V9" s="29">
        <f t="shared" si="1"/>
        <v>414</v>
      </c>
      <c r="W9" s="29">
        <f t="shared" si="1"/>
        <v>386</v>
      </c>
      <c r="X9" s="29">
        <f t="shared" si="1"/>
        <v>28</v>
      </c>
      <c r="Y9" s="31"/>
    </row>
    <row r="10" spans="1:25" s="32" customFormat="1" ht="28.5" hidden="1" customHeight="1">
      <c r="A10" s="31" t="s">
        <v>89</v>
      </c>
      <c r="B10" s="33" t="s">
        <v>158</v>
      </c>
      <c r="C10" s="34" t="s">
        <v>159</v>
      </c>
      <c r="D10" s="29">
        <f>D11+D14+D17+D20</f>
        <v>10745</v>
      </c>
      <c r="E10" s="29">
        <f t="shared" ref="E10:X10" si="2">E11+E14+E17+E20</f>
        <v>1288</v>
      </c>
      <c r="F10" s="30">
        <f t="shared" si="2"/>
        <v>1288</v>
      </c>
      <c r="G10" s="29">
        <f t="shared" si="2"/>
        <v>0</v>
      </c>
      <c r="H10" s="29">
        <f t="shared" si="2"/>
        <v>0</v>
      </c>
      <c r="I10" s="29">
        <f t="shared" si="2"/>
        <v>0</v>
      </c>
      <c r="J10" s="29">
        <f t="shared" si="2"/>
        <v>0</v>
      </c>
      <c r="K10" s="29">
        <f t="shared" si="2"/>
        <v>0</v>
      </c>
      <c r="L10" s="29">
        <f t="shared" si="2"/>
        <v>0</v>
      </c>
      <c r="M10" s="29">
        <f t="shared" si="2"/>
        <v>0</v>
      </c>
      <c r="N10" s="29">
        <f t="shared" si="2"/>
        <v>0</v>
      </c>
      <c r="O10" s="29">
        <f t="shared" si="2"/>
        <v>1809</v>
      </c>
      <c r="P10" s="29">
        <f t="shared" si="2"/>
        <v>0</v>
      </c>
      <c r="Q10" s="29">
        <f t="shared" si="2"/>
        <v>1809</v>
      </c>
      <c r="R10" s="29">
        <f t="shared" si="2"/>
        <v>247</v>
      </c>
      <c r="S10" s="29">
        <f t="shared" si="2"/>
        <v>5407</v>
      </c>
      <c r="T10" s="29">
        <f t="shared" si="2"/>
        <v>0</v>
      </c>
      <c r="U10" s="29">
        <f t="shared" si="2"/>
        <v>1994</v>
      </c>
      <c r="V10" s="29">
        <f t="shared" si="2"/>
        <v>0</v>
      </c>
      <c r="W10" s="29">
        <f t="shared" si="2"/>
        <v>0</v>
      </c>
      <c r="X10" s="29">
        <f t="shared" si="2"/>
        <v>0</v>
      </c>
      <c r="Y10" s="31"/>
    </row>
    <row r="11" spans="1:25" s="40" customFormat="1" ht="25.5" hidden="1" customHeight="1">
      <c r="A11" s="35" t="s">
        <v>3</v>
      </c>
      <c r="B11" s="36" t="s">
        <v>160</v>
      </c>
      <c r="C11" s="37" t="s">
        <v>161</v>
      </c>
      <c r="D11" s="38">
        <f>SUM(D12:D13)</f>
        <v>247</v>
      </c>
      <c r="E11" s="38">
        <f t="shared" ref="E11:X11" si="3">SUM(E12:E13)</f>
        <v>0</v>
      </c>
      <c r="F11" s="39">
        <f t="shared" si="3"/>
        <v>0</v>
      </c>
      <c r="G11" s="38">
        <f t="shared" si="3"/>
        <v>0</v>
      </c>
      <c r="H11" s="38">
        <f t="shared" si="3"/>
        <v>0</v>
      </c>
      <c r="I11" s="38">
        <f t="shared" si="3"/>
        <v>0</v>
      </c>
      <c r="J11" s="38">
        <f t="shared" si="3"/>
        <v>0</v>
      </c>
      <c r="K11" s="38">
        <f t="shared" si="3"/>
        <v>0</v>
      </c>
      <c r="L11" s="38">
        <f t="shared" si="3"/>
        <v>0</v>
      </c>
      <c r="M11" s="38">
        <f t="shared" si="3"/>
        <v>0</v>
      </c>
      <c r="N11" s="38">
        <f t="shared" si="3"/>
        <v>0</v>
      </c>
      <c r="O11" s="38">
        <f t="shared" si="3"/>
        <v>0</v>
      </c>
      <c r="P11" s="38">
        <f t="shared" si="3"/>
        <v>0</v>
      </c>
      <c r="Q11" s="38">
        <f t="shared" si="3"/>
        <v>0</v>
      </c>
      <c r="R11" s="38">
        <f t="shared" si="3"/>
        <v>247</v>
      </c>
      <c r="S11" s="38">
        <f t="shared" si="3"/>
        <v>0</v>
      </c>
      <c r="T11" s="38">
        <f t="shared" si="3"/>
        <v>0</v>
      </c>
      <c r="U11" s="38">
        <f t="shared" si="3"/>
        <v>0</v>
      </c>
      <c r="V11" s="38">
        <f t="shared" si="3"/>
        <v>0</v>
      </c>
      <c r="W11" s="38">
        <f t="shared" si="3"/>
        <v>0</v>
      </c>
      <c r="X11" s="38">
        <f t="shared" si="3"/>
        <v>0</v>
      </c>
      <c r="Y11" s="35"/>
    </row>
    <row r="12" spans="1:25" s="32" customFormat="1" ht="23.25" hidden="1" customHeight="1">
      <c r="A12" s="41">
        <v>1</v>
      </c>
      <c r="B12" s="42" t="s">
        <v>162</v>
      </c>
      <c r="C12" s="28"/>
      <c r="D12" s="43">
        <f t="shared" ref="D12:D13" si="4">E12+J12+N12+O12+SUM(R12:V12)</f>
        <v>247</v>
      </c>
      <c r="E12" s="44">
        <f t="shared" ref="E12:E13" si="5">SUM(F12:I12)</f>
        <v>0</v>
      </c>
      <c r="F12" s="45">
        <f>F93+F246</f>
        <v>0</v>
      </c>
      <c r="G12" s="46">
        <f t="shared" ref="G12:X12" si="6">G93+G246</f>
        <v>0</v>
      </c>
      <c r="H12" s="46">
        <f t="shared" si="6"/>
        <v>0</v>
      </c>
      <c r="I12" s="46">
        <f t="shared" si="6"/>
        <v>0</v>
      </c>
      <c r="J12" s="44">
        <f t="shared" ref="J12:J13" si="7">SUM(K12:M12)</f>
        <v>0</v>
      </c>
      <c r="K12" s="46">
        <f t="shared" si="6"/>
        <v>0</v>
      </c>
      <c r="L12" s="46">
        <f t="shared" si="6"/>
        <v>0</v>
      </c>
      <c r="M12" s="46">
        <f t="shared" si="6"/>
        <v>0</v>
      </c>
      <c r="N12" s="46">
        <f t="shared" si="6"/>
        <v>0</v>
      </c>
      <c r="O12" s="44">
        <f t="shared" ref="O12:O13" si="8">SUM(P12:Q12)</f>
        <v>0</v>
      </c>
      <c r="P12" s="46">
        <f t="shared" si="6"/>
        <v>0</v>
      </c>
      <c r="Q12" s="46">
        <f t="shared" si="6"/>
        <v>0</v>
      </c>
      <c r="R12" s="46">
        <f t="shared" si="6"/>
        <v>247</v>
      </c>
      <c r="S12" s="46">
        <f t="shared" si="6"/>
        <v>0</v>
      </c>
      <c r="T12" s="46">
        <f t="shared" si="6"/>
        <v>0</v>
      </c>
      <c r="U12" s="46">
        <f t="shared" si="6"/>
        <v>0</v>
      </c>
      <c r="V12" s="44">
        <f t="shared" ref="V12:V13" si="9">SUM(W12:X12)</f>
        <v>0</v>
      </c>
      <c r="W12" s="46">
        <f t="shared" si="6"/>
        <v>0</v>
      </c>
      <c r="X12" s="46">
        <f t="shared" si="6"/>
        <v>0</v>
      </c>
      <c r="Y12" s="31"/>
    </row>
    <row r="13" spans="1:25" s="32" customFormat="1" ht="15.75" hidden="1">
      <c r="A13" s="41">
        <v>2</v>
      </c>
      <c r="B13" s="42"/>
      <c r="C13" s="28"/>
      <c r="D13" s="43">
        <f t="shared" si="4"/>
        <v>0</v>
      </c>
      <c r="E13" s="44">
        <f t="shared" si="5"/>
        <v>0</v>
      </c>
      <c r="F13" s="47"/>
      <c r="G13" s="48"/>
      <c r="H13" s="48"/>
      <c r="I13" s="48"/>
      <c r="J13" s="44">
        <f t="shared" si="7"/>
        <v>0</v>
      </c>
      <c r="K13" s="48"/>
      <c r="L13" s="48"/>
      <c r="M13" s="48"/>
      <c r="N13" s="48"/>
      <c r="O13" s="44">
        <f t="shared" si="8"/>
        <v>0</v>
      </c>
      <c r="P13" s="48"/>
      <c r="Q13" s="48"/>
      <c r="R13" s="48"/>
      <c r="S13" s="48"/>
      <c r="T13" s="48"/>
      <c r="U13" s="48"/>
      <c r="V13" s="44">
        <f t="shared" si="9"/>
        <v>0</v>
      </c>
      <c r="W13" s="48"/>
      <c r="X13" s="48"/>
      <c r="Y13" s="31"/>
    </row>
    <row r="14" spans="1:25" s="40" customFormat="1" ht="36.75" hidden="1" customHeight="1">
      <c r="A14" s="35" t="s">
        <v>5</v>
      </c>
      <c r="B14" s="36" t="s">
        <v>163</v>
      </c>
      <c r="C14" s="37" t="s">
        <v>164</v>
      </c>
      <c r="D14" s="38">
        <f>SUM(D15:D16)</f>
        <v>3803</v>
      </c>
      <c r="E14" s="38">
        <f t="shared" ref="E14:X14" si="10">SUM(E15:E16)</f>
        <v>0</v>
      </c>
      <c r="F14" s="39">
        <f t="shared" si="10"/>
        <v>0</v>
      </c>
      <c r="G14" s="38">
        <f t="shared" si="10"/>
        <v>0</v>
      </c>
      <c r="H14" s="38">
        <f t="shared" si="10"/>
        <v>0</v>
      </c>
      <c r="I14" s="38">
        <f t="shared" si="10"/>
        <v>0</v>
      </c>
      <c r="J14" s="38">
        <f t="shared" si="10"/>
        <v>0</v>
      </c>
      <c r="K14" s="38">
        <f t="shared" si="10"/>
        <v>0</v>
      </c>
      <c r="L14" s="38">
        <f t="shared" si="10"/>
        <v>0</v>
      </c>
      <c r="M14" s="38">
        <f t="shared" si="10"/>
        <v>0</v>
      </c>
      <c r="N14" s="38">
        <f t="shared" si="10"/>
        <v>0</v>
      </c>
      <c r="O14" s="38">
        <f t="shared" si="10"/>
        <v>1809</v>
      </c>
      <c r="P14" s="38">
        <f t="shared" si="10"/>
        <v>0</v>
      </c>
      <c r="Q14" s="38">
        <f t="shared" si="10"/>
        <v>1809</v>
      </c>
      <c r="R14" s="38">
        <f t="shared" si="10"/>
        <v>0</v>
      </c>
      <c r="S14" s="38">
        <f t="shared" si="10"/>
        <v>0</v>
      </c>
      <c r="T14" s="38">
        <f t="shared" si="10"/>
        <v>0</v>
      </c>
      <c r="U14" s="38">
        <f t="shared" si="10"/>
        <v>1994</v>
      </c>
      <c r="V14" s="38">
        <f t="shared" si="10"/>
        <v>0</v>
      </c>
      <c r="W14" s="38">
        <f t="shared" si="10"/>
        <v>0</v>
      </c>
      <c r="X14" s="38">
        <f t="shared" si="10"/>
        <v>0</v>
      </c>
      <c r="Y14" s="35"/>
    </row>
    <row r="15" spans="1:25" s="32" customFormat="1" ht="39.75" hidden="1" customHeight="1">
      <c r="A15" s="41">
        <v>1</v>
      </c>
      <c r="B15" s="42" t="s">
        <v>165</v>
      </c>
      <c r="C15" s="28"/>
      <c r="D15" s="43">
        <f t="shared" ref="D15:D16" si="11">E15+J15+N15+O15+SUM(R15:V15)</f>
        <v>1809</v>
      </c>
      <c r="E15" s="44">
        <f t="shared" ref="E15:E16" si="12">SUM(F15:I15)</f>
        <v>0</v>
      </c>
      <c r="F15" s="45">
        <f>F100+F253</f>
        <v>0</v>
      </c>
      <c r="G15" s="46">
        <f t="shared" ref="G15:I16" si="13">G100+G253</f>
        <v>0</v>
      </c>
      <c r="H15" s="46">
        <f t="shared" si="13"/>
        <v>0</v>
      </c>
      <c r="I15" s="46">
        <f t="shared" si="13"/>
        <v>0</v>
      </c>
      <c r="J15" s="44">
        <f t="shared" ref="J15:J16" si="14">SUM(K15:M15)</f>
        <v>0</v>
      </c>
      <c r="K15" s="46">
        <f t="shared" ref="K15:N16" si="15">K100+K253</f>
        <v>0</v>
      </c>
      <c r="L15" s="46">
        <f t="shared" si="15"/>
        <v>0</v>
      </c>
      <c r="M15" s="46">
        <f t="shared" si="15"/>
        <v>0</v>
      </c>
      <c r="N15" s="46">
        <f t="shared" si="15"/>
        <v>0</v>
      </c>
      <c r="O15" s="44">
        <f t="shared" ref="O15:O16" si="16">SUM(P15:Q15)</f>
        <v>1809</v>
      </c>
      <c r="P15" s="46">
        <f t="shared" ref="P15:U16" si="17">P100+P253</f>
        <v>0</v>
      </c>
      <c r="Q15" s="46">
        <f t="shared" si="17"/>
        <v>1809</v>
      </c>
      <c r="R15" s="46">
        <f t="shared" si="17"/>
        <v>0</v>
      </c>
      <c r="S15" s="46">
        <f t="shared" si="17"/>
        <v>0</v>
      </c>
      <c r="T15" s="46">
        <f t="shared" si="17"/>
        <v>0</v>
      </c>
      <c r="U15" s="46">
        <f t="shared" si="17"/>
        <v>0</v>
      </c>
      <c r="V15" s="44">
        <f t="shared" ref="V15:V16" si="18">SUM(W15:X15)</f>
        <v>0</v>
      </c>
      <c r="W15" s="46">
        <f t="shared" ref="W15:X16" si="19">W100+W253</f>
        <v>0</v>
      </c>
      <c r="X15" s="46">
        <f t="shared" si="19"/>
        <v>0</v>
      </c>
      <c r="Y15" s="31"/>
    </row>
    <row r="16" spans="1:25" s="32" customFormat="1" ht="24" hidden="1" customHeight="1">
      <c r="A16" s="41">
        <v>2</v>
      </c>
      <c r="B16" s="42" t="s">
        <v>166</v>
      </c>
      <c r="C16" s="28"/>
      <c r="D16" s="43">
        <f t="shared" si="11"/>
        <v>1994</v>
      </c>
      <c r="E16" s="44">
        <f t="shared" si="12"/>
        <v>0</v>
      </c>
      <c r="F16" s="45">
        <f>F101+F254</f>
        <v>0</v>
      </c>
      <c r="G16" s="46">
        <f t="shared" si="13"/>
        <v>0</v>
      </c>
      <c r="H16" s="46">
        <f t="shared" si="13"/>
        <v>0</v>
      </c>
      <c r="I16" s="46">
        <f t="shared" si="13"/>
        <v>0</v>
      </c>
      <c r="J16" s="44">
        <f t="shared" si="14"/>
        <v>0</v>
      </c>
      <c r="K16" s="46">
        <f t="shared" si="15"/>
        <v>0</v>
      </c>
      <c r="L16" s="46">
        <f t="shared" si="15"/>
        <v>0</v>
      </c>
      <c r="M16" s="46">
        <f t="shared" si="15"/>
        <v>0</v>
      </c>
      <c r="N16" s="46">
        <f t="shared" si="15"/>
        <v>0</v>
      </c>
      <c r="O16" s="44">
        <f t="shared" si="16"/>
        <v>0</v>
      </c>
      <c r="P16" s="46">
        <f t="shared" si="17"/>
        <v>0</v>
      </c>
      <c r="Q16" s="46">
        <f t="shared" si="17"/>
        <v>0</v>
      </c>
      <c r="R16" s="46">
        <f t="shared" si="17"/>
        <v>0</v>
      </c>
      <c r="S16" s="46">
        <f t="shared" si="17"/>
        <v>0</v>
      </c>
      <c r="T16" s="46">
        <f t="shared" si="17"/>
        <v>0</v>
      </c>
      <c r="U16" s="46">
        <f t="shared" si="17"/>
        <v>1994</v>
      </c>
      <c r="V16" s="44">
        <f t="shared" si="18"/>
        <v>0</v>
      </c>
      <c r="W16" s="46">
        <f t="shared" si="19"/>
        <v>0</v>
      </c>
      <c r="X16" s="46">
        <f t="shared" si="19"/>
        <v>0</v>
      </c>
      <c r="Y16" s="31"/>
    </row>
    <row r="17" spans="1:25" s="40" customFormat="1" ht="24.75" hidden="1" customHeight="1">
      <c r="A17" s="35" t="s">
        <v>90</v>
      </c>
      <c r="B17" s="36" t="s">
        <v>167</v>
      </c>
      <c r="C17" s="37" t="s">
        <v>168</v>
      </c>
      <c r="D17" s="38">
        <f>SUM(D18:D19)</f>
        <v>5407</v>
      </c>
      <c r="E17" s="38">
        <f t="shared" ref="E17:X17" si="20">SUM(E18:E19)</f>
        <v>0</v>
      </c>
      <c r="F17" s="39">
        <f t="shared" si="20"/>
        <v>0</v>
      </c>
      <c r="G17" s="38">
        <f t="shared" si="20"/>
        <v>0</v>
      </c>
      <c r="H17" s="38">
        <f t="shared" si="20"/>
        <v>0</v>
      </c>
      <c r="I17" s="38">
        <f t="shared" si="20"/>
        <v>0</v>
      </c>
      <c r="J17" s="38">
        <f t="shared" si="20"/>
        <v>0</v>
      </c>
      <c r="K17" s="38">
        <f t="shared" si="20"/>
        <v>0</v>
      </c>
      <c r="L17" s="38">
        <f t="shared" si="20"/>
        <v>0</v>
      </c>
      <c r="M17" s="38">
        <f t="shared" si="20"/>
        <v>0</v>
      </c>
      <c r="N17" s="38">
        <f t="shared" si="20"/>
        <v>0</v>
      </c>
      <c r="O17" s="38">
        <f t="shared" si="20"/>
        <v>0</v>
      </c>
      <c r="P17" s="38">
        <f t="shared" si="20"/>
        <v>0</v>
      </c>
      <c r="Q17" s="38">
        <f t="shared" si="20"/>
        <v>0</v>
      </c>
      <c r="R17" s="38">
        <f t="shared" si="20"/>
        <v>0</v>
      </c>
      <c r="S17" s="38">
        <f t="shared" si="20"/>
        <v>5407</v>
      </c>
      <c r="T17" s="38">
        <f t="shared" si="20"/>
        <v>0</v>
      </c>
      <c r="U17" s="38">
        <f t="shared" si="20"/>
        <v>0</v>
      </c>
      <c r="V17" s="38">
        <f t="shared" si="20"/>
        <v>0</v>
      </c>
      <c r="W17" s="38">
        <f t="shared" si="20"/>
        <v>0</v>
      </c>
      <c r="X17" s="38">
        <f t="shared" si="20"/>
        <v>0</v>
      </c>
      <c r="Y17" s="35"/>
    </row>
    <row r="18" spans="1:25" s="32" customFormat="1" ht="25.5" hidden="1" customHeight="1">
      <c r="A18" s="41">
        <v>1</v>
      </c>
      <c r="B18" s="42" t="s">
        <v>169</v>
      </c>
      <c r="C18" s="28"/>
      <c r="D18" s="43">
        <f t="shared" ref="D18:D19" si="21">E18+J18+N18+O18+SUM(R18:V18)</f>
        <v>3996</v>
      </c>
      <c r="E18" s="44">
        <f t="shared" ref="E18:E19" si="22">SUM(F18:I18)</f>
        <v>0</v>
      </c>
      <c r="F18" s="45">
        <f>F137+F290</f>
        <v>0</v>
      </c>
      <c r="G18" s="46">
        <f t="shared" ref="G18:I18" si="23">G137+G290</f>
        <v>0</v>
      </c>
      <c r="H18" s="46">
        <f t="shared" si="23"/>
        <v>0</v>
      </c>
      <c r="I18" s="46">
        <f t="shared" si="23"/>
        <v>0</v>
      </c>
      <c r="J18" s="44">
        <f t="shared" ref="J18:J19" si="24">SUM(K18:M18)</f>
        <v>0</v>
      </c>
      <c r="K18" s="46">
        <f t="shared" ref="K18:N18" si="25">K137+K290</f>
        <v>0</v>
      </c>
      <c r="L18" s="46">
        <f t="shared" si="25"/>
        <v>0</v>
      </c>
      <c r="M18" s="46">
        <f t="shared" si="25"/>
        <v>0</v>
      </c>
      <c r="N18" s="46">
        <f t="shared" si="25"/>
        <v>0</v>
      </c>
      <c r="O18" s="44">
        <f t="shared" ref="O18:O19" si="26">SUM(P18:Q18)</f>
        <v>0</v>
      </c>
      <c r="P18" s="46">
        <f t="shared" ref="P18:U18" si="27">P137+P290</f>
        <v>0</v>
      </c>
      <c r="Q18" s="46">
        <f t="shared" si="27"/>
        <v>0</v>
      </c>
      <c r="R18" s="46">
        <f t="shared" si="27"/>
        <v>0</v>
      </c>
      <c r="S18" s="46">
        <f t="shared" si="27"/>
        <v>3996</v>
      </c>
      <c r="T18" s="46">
        <f t="shared" si="27"/>
        <v>0</v>
      </c>
      <c r="U18" s="46">
        <f t="shared" si="27"/>
        <v>0</v>
      </c>
      <c r="V18" s="44">
        <f t="shared" ref="V18:V19" si="28">SUM(W18:X18)</f>
        <v>0</v>
      </c>
      <c r="W18" s="46">
        <f t="shared" ref="W18:X18" si="29">W137+W290</f>
        <v>0</v>
      </c>
      <c r="X18" s="46">
        <f t="shared" si="29"/>
        <v>0</v>
      </c>
      <c r="Y18" s="31"/>
    </row>
    <row r="19" spans="1:25" s="32" customFormat="1" ht="24" hidden="1" customHeight="1">
      <c r="A19" s="41">
        <v>2</v>
      </c>
      <c r="B19" s="42" t="s">
        <v>170</v>
      </c>
      <c r="C19" s="28"/>
      <c r="D19" s="43">
        <f t="shared" si="21"/>
        <v>1411</v>
      </c>
      <c r="E19" s="44">
        <f t="shared" si="22"/>
        <v>0</v>
      </c>
      <c r="F19" s="45">
        <f>F103+F256</f>
        <v>0</v>
      </c>
      <c r="G19" s="46">
        <f t="shared" ref="G19:I19" si="30">G103+G256</f>
        <v>0</v>
      </c>
      <c r="H19" s="46">
        <f t="shared" si="30"/>
        <v>0</v>
      </c>
      <c r="I19" s="46">
        <f t="shared" si="30"/>
        <v>0</v>
      </c>
      <c r="J19" s="44">
        <f t="shared" si="24"/>
        <v>0</v>
      </c>
      <c r="K19" s="46">
        <f t="shared" ref="K19:N19" si="31">K103+K256</f>
        <v>0</v>
      </c>
      <c r="L19" s="46">
        <f t="shared" si="31"/>
        <v>0</v>
      </c>
      <c r="M19" s="46">
        <f t="shared" si="31"/>
        <v>0</v>
      </c>
      <c r="N19" s="46">
        <f t="shared" si="31"/>
        <v>0</v>
      </c>
      <c r="O19" s="44">
        <f t="shared" si="26"/>
        <v>0</v>
      </c>
      <c r="P19" s="46">
        <f t="shared" ref="P19:U19" si="32">P103+P256</f>
        <v>0</v>
      </c>
      <c r="Q19" s="46">
        <f t="shared" si="32"/>
        <v>0</v>
      </c>
      <c r="R19" s="46">
        <f t="shared" si="32"/>
        <v>0</v>
      </c>
      <c r="S19" s="46">
        <f t="shared" si="32"/>
        <v>1411</v>
      </c>
      <c r="T19" s="46">
        <f t="shared" si="32"/>
        <v>0</v>
      </c>
      <c r="U19" s="46">
        <f t="shared" si="32"/>
        <v>0</v>
      </c>
      <c r="V19" s="44">
        <f t="shared" si="28"/>
        <v>0</v>
      </c>
      <c r="W19" s="46">
        <f t="shared" ref="W19:X19" si="33">W103+W256</f>
        <v>0</v>
      </c>
      <c r="X19" s="46">
        <f t="shared" si="33"/>
        <v>0</v>
      </c>
      <c r="Y19" s="31"/>
    </row>
    <row r="20" spans="1:25" s="40" customFormat="1" ht="36.75" hidden="1" customHeight="1">
      <c r="A20" s="35" t="s">
        <v>101</v>
      </c>
      <c r="B20" s="36" t="s">
        <v>171</v>
      </c>
      <c r="C20" s="37" t="s">
        <v>172</v>
      </c>
      <c r="D20" s="38">
        <f>SUM(D21:D22)</f>
        <v>1288</v>
      </c>
      <c r="E20" s="38">
        <f t="shared" ref="E20:X20" si="34">SUM(E21:E22)</f>
        <v>1288</v>
      </c>
      <c r="F20" s="39">
        <f t="shared" si="34"/>
        <v>1288</v>
      </c>
      <c r="G20" s="38">
        <f t="shared" si="34"/>
        <v>0</v>
      </c>
      <c r="H20" s="38">
        <f t="shared" si="34"/>
        <v>0</v>
      </c>
      <c r="I20" s="38">
        <f t="shared" si="34"/>
        <v>0</v>
      </c>
      <c r="J20" s="38">
        <f t="shared" si="34"/>
        <v>0</v>
      </c>
      <c r="K20" s="38">
        <f t="shared" si="34"/>
        <v>0</v>
      </c>
      <c r="L20" s="38">
        <f t="shared" si="34"/>
        <v>0</v>
      </c>
      <c r="M20" s="38">
        <f t="shared" si="34"/>
        <v>0</v>
      </c>
      <c r="N20" s="38">
        <f t="shared" si="34"/>
        <v>0</v>
      </c>
      <c r="O20" s="38">
        <f t="shared" si="34"/>
        <v>0</v>
      </c>
      <c r="P20" s="38">
        <f t="shared" si="34"/>
        <v>0</v>
      </c>
      <c r="Q20" s="38">
        <f t="shared" si="34"/>
        <v>0</v>
      </c>
      <c r="R20" s="38">
        <f t="shared" si="34"/>
        <v>0</v>
      </c>
      <c r="S20" s="38">
        <f t="shared" si="34"/>
        <v>0</v>
      </c>
      <c r="T20" s="38">
        <f t="shared" si="34"/>
        <v>0</v>
      </c>
      <c r="U20" s="38">
        <f t="shared" si="34"/>
        <v>0</v>
      </c>
      <c r="V20" s="38">
        <f t="shared" si="34"/>
        <v>0</v>
      </c>
      <c r="W20" s="38">
        <f t="shared" si="34"/>
        <v>0</v>
      </c>
      <c r="X20" s="38">
        <f t="shared" si="34"/>
        <v>0</v>
      </c>
      <c r="Y20" s="35"/>
    </row>
    <row r="21" spans="1:25" s="32" customFormat="1" ht="25.5" hidden="1" customHeight="1">
      <c r="A21" s="41">
        <v>1</v>
      </c>
      <c r="B21" s="42" t="s">
        <v>173</v>
      </c>
      <c r="C21" s="28"/>
      <c r="D21" s="43">
        <f t="shared" ref="D21:D22" si="35">E21+J21+N21+O21+SUM(R21:V21)</f>
        <v>950</v>
      </c>
      <c r="E21" s="44">
        <f t="shared" ref="E21:E22" si="36">SUM(F21:I21)</f>
        <v>950</v>
      </c>
      <c r="F21" s="45">
        <f>F105+F258</f>
        <v>950</v>
      </c>
      <c r="G21" s="46">
        <f t="shared" ref="G21:I21" si="37">G105+G258</f>
        <v>0</v>
      </c>
      <c r="H21" s="46">
        <f t="shared" si="37"/>
        <v>0</v>
      </c>
      <c r="I21" s="46">
        <f t="shared" si="37"/>
        <v>0</v>
      </c>
      <c r="J21" s="44">
        <f t="shared" ref="J21:J22" si="38">SUM(K21:M21)</f>
        <v>0</v>
      </c>
      <c r="K21" s="46">
        <f t="shared" ref="K21:N21" si="39">K105+K258</f>
        <v>0</v>
      </c>
      <c r="L21" s="46">
        <f t="shared" si="39"/>
        <v>0</v>
      </c>
      <c r="M21" s="46">
        <f t="shared" si="39"/>
        <v>0</v>
      </c>
      <c r="N21" s="46">
        <f t="shared" si="39"/>
        <v>0</v>
      </c>
      <c r="O21" s="44">
        <f t="shared" ref="O21:O22" si="40">SUM(P21:Q21)</f>
        <v>0</v>
      </c>
      <c r="P21" s="46">
        <f t="shared" ref="P21:U21" si="41">P105+P258</f>
        <v>0</v>
      </c>
      <c r="Q21" s="46">
        <f t="shared" si="41"/>
        <v>0</v>
      </c>
      <c r="R21" s="46">
        <f t="shared" si="41"/>
        <v>0</v>
      </c>
      <c r="S21" s="46">
        <f t="shared" si="41"/>
        <v>0</v>
      </c>
      <c r="T21" s="46">
        <f t="shared" si="41"/>
        <v>0</v>
      </c>
      <c r="U21" s="46">
        <f t="shared" si="41"/>
        <v>0</v>
      </c>
      <c r="V21" s="44">
        <f t="shared" ref="V21:V22" si="42">SUM(W21:X21)</f>
        <v>0</v>
      </c>
      <c r="W21" s="46">
        <f t="shared" ref="W21:X21" si="43">W105+W258</f>
        <v>0</v>
      </c>
      <c r="X21" s="46">
        <f t="shared" si="43"/>
        <v>0</v>
      </c>
      <c r="Y21" s="31"/>
    </row>
    <row r="22" spans="1:25" s="32" customFormat="1" ht="27" hidden="1" customHeight="1">
      <c r="A22" s="41">
        <v>2</v>
      </c>
      <c r="B22" s="42" t="s">
        <v>174</v>
      </c>
      <c r="C22" s="28"/>
      <c r="D22" s="43">
        <f t="shared" si="35"/>
        <v>338</v>
      </c>
      <c r="E22" s="44">
        <f t="shared" si="36"/>
        <v>338</v>
      </c>
      <c r="F22" s="45">
        <f>F58+F106+F211+F259</f>
        <v>338</v>
      </c>
      <c r="G22" s="46">
        <f t="shared" ref="G22:I22" si="44">G58+G106+G211+G259</f>
        <v>0</v>
      </c>
      <c r="H22" s="46">
        <f t="shared" si="44"/>
        <v>0</v>
      </c>
      <c r="I22" s="46">
        <f t="shared" si="44"/>
        <v>0</v>
      </c>
      <c r="J22" s="44">
        <f t="shared" si="38"/>
        <v>0</v>
      </c>
      <c r="K22" s="46">
        <f t="shared" ref="K22:N22" si="45">K58+K106+K211+K259</f>
        <v>0</v>
      </c>
      <c r="L22" s="46">
        <f t="shared" si="45"/>
        <v>0</v>
      </c>
      <c r="M22" s="46">
        <f t="shared" si="45"/>
        <v>0</v>
      </c>
      <c r="N22" s="46">
        <f t="shared" si="45"/>
        <v>0</v>
      </c>
      <c r="O22" s="44">
        <f t="shared" si="40"/>
        <v>0</v>
      </c>
      <c r="P22" s="46">
        <f t="shared" ref="P22:U22" si="46">P58+P106+P211+P259</f>
        <v>0</v>
      </c>
      <c r="Q22" s="46">
        <f t="shared" si="46"/>
        <v>0</v>
      </c>
      <c r="R22" s="46">
        <f t="shared" si="46"/>
        <v>0</v>
      </c>
      <c r="S22" s="46">
        <f t="shared" si="46"/>
        <v>0</v>
      </c>
      <c r="T22" s="46">
        <f t="shared" si="46"/>
        <v>0</v>
      </c>
      <c r="U22" s="46">
        <f t="shared" si="46"/>
        <v>0</v>
      </c>
      <c r="V22" s="44">
        <f t="shared" si="42"/>
        <v>0</v>
      </c>
      <c r="W22" s="46">
        <f t="shared" ref="W22:X22" si="47">W58+W106+W211+W259</f>
        <v>0</v>
      </c>
      <c r="X22" s="46">
        <f t="shared" si="47"/>
        <v>0</v>
      </c>
      <c r="Y22" s="31"/>
    </row>
    <row r="23" spans="1:25" s="32" customFormat="1" ht="14.25" hidden="1">
      <c r="A23" s="31" t="s">
        <v>68</v>
      </c>
      <c r="B23" s="33" t="s">
        <v>175</v>
      </c>
      <c r="C23" s="34" t="s">
        <v>176</v>
      </c>
      <c r="D23" s="29">
        <f>D24+D25+D26+D27+D28+D29+D30+D31</f>
        <v>10487</v>
      </c>
      <c r="E23" s="29">
        <f t="shared" ref="E23:X23" si="48">E24+E25+E26+E27+E28+E29+E30+E31</f>
        <v>1131</v>
      </c>
      <c r="F23" s="30">
        <f t="shared" si="48"/>
        <v>654</v>
      </c>
      <c r="G23" s="29">
        <f t="shared" si="48"/>
        <v>20</v>
      </c>
      <c r="H23" s="29">
        <f t="shared" si="48"/>
        <v>285</v>
      </c>
      <c r="I23" s="29">
        <f t="shared" si="48"/>
        <v>172</v>
      </c>
      <c r="J23" s="29">
        <f t="shared" si="48"/>
        <v>3628</v>
      </c>
      <c r="K23" s="29">
        <f t="shared" si="48"/>
        <v>628</v>
      </c>
      <c r="L23" s="29">
        <f t="shared" si="48"/>
        <v>3000</v>
      </c>
      <c r="M23" s="29">
        <f t="shared" si="48"/>
        <v>0</v>
      </c>
      <c r="N23" s="29">
        <f t="shared" si="48"/>
        <v>70</v>
      </c>
      <c r="O23" s="29">
        <f t="shared" si="48"/>
        <v>4151</v>
      </c>
      <c r="P23" s="29">
        <f t="shared" si="48"/>
        <v>4151</v>
      </c>
      <c r="Q23" s="29">
        <f t="shared" si="48"/>
        <v>0</v>
      </c>
      <c r="R23" s="29">
        <f t="shared" si="48"/>
        <v>0</v>
      </c>
      <c r="S23" s="29">
        <f t="shared" si="48"/>
        <v>860</v>
      </c>
      <c r="T23" s="29">
        <f t="shared" si="48"/>
        <v>233</v>
      </c>
      <c r="U23" s="29">
        <f t="shared" si="48"/>
        <v>0</v>
      </c>
      <c r="V23" s="29">
        <f t="shared" si="48"/>
        <v>414</v>
      </c>
      <c r="W23" s="29">
        <f t="shared" si="48"/>
        <v>386</v>
      </c>
      <c r="X23" s="29">
        <f t="shared" si="48"/>
        <v>28</v>
      </c>
      <c r="Y23" s="31"/>
    </row>
    <row r="24" spans="1:25" s="32" customFormat="1" ht="42" hidden="1" customHeight="1">
      <c r="A24" s="41" t="s">
        <v>3</v>
      </c>
      <c r="B24" s="42" t="s">
        <v>177</v>
      </c>
      <c r="C24" s="28" t="s">
        <v>178</v>
      </c>
      <c r="D24" s="43">
        <f t="shared" ref="D24:D31" si="49">E24+J24+N24+O24+SUM(R24:V24)</f>
        <v>3000</v>
      </c>
      <c r="E24" s="44">
        <f t="shared" ref="E24:E31" si="50">SUM(F24:I24)</f>
        <v>0</v>
      </c>
      <c r="F24" s="45">
        <f>F213</f>
        <v>0</v>
      </c>
      <c r="G24" s="46">
        <f t="shared" ref="G24:I24" si="51">G213</f>
        <v>0</v>
      </c>
      <c r="H24" s="46">
        <f t="shared" si="51"/>
        <v>0</v>
      </c>
      <c r="I24" s="46">
        <f t="shared" si="51"/>
        <v>0</v>
      </c>
      <c r="J24" s="44">
        <f t="shared" ref="J24:J31" si="52">SUM(K24:M24)</f>
        <v>3000</v>
      </c>
      <c r="K24" s="46">
        <f t="shared" ref="K24:N24" si="53">K213</f>
        <v>0</v>
      </c>
      <c r="L24" s="46">
        <f t="shared" si="53"/>
        <v>3000</v>
      </c>
      <c r="M24" s="46">
        <f t="shared" si="53"/>
        <v>0</v>
      </c>
      <c r="N24" s="46">
        <f t="shared" si="53"/>
        <v>0</v>
      </c>
      <c r="O24" s="44">
        <f t="shared" ref="O24:O31" si="54">SUM(P24:Q24)</f>
        <v>0</v>
      </c>
      <c r="P24" s="46">
        <f t="shared" ref="P24:U24" si="55">P213</f>
        <v>0</v>
      </c>
      <c r="Q24" s="46">
        <f t="shared" si="55"/>
        <v>0</v>
      </c>
      <c r="R24" s="46">
        <f t="shared" si="55"/>
        <v>0</v>
      </c>
      <c r="S24" s="46">
        <f t="shared" si="55"/>
        <v>0</v>
      </c>
      <c r="T24" s="46">
        <f t="shared" si="55"/>
        <v>0</v>
      </c>
      <c r="U24" s="46">
        <f t="shared" si="55"/>
        <v>0</v>
      </c>
      <c r="V24" s="44">
        <f t="shared" ref="V24:V31" si="56">SUM(W24:X24)</f>
        <v>0</v>
      </c>
      <c r="W24" s="46">
        <f t="shared" ref="W24:X24" si="57">W213</f>
        <v>0</v>
      </c>
      <c r="X24" s="46">
        <f t="shared" si="57"/>
        <v>0</v>
      </c>
      <c r="Y24" s="31"/>
    </row>
    <row r="25" spans="1:25" s="32" customFormat="1" ht="105.75" hidden="1" customHeight="1">
      <c r="A25" s="41" t="s">
        <v>5</v>
      </c>
      <c r="B25" s="49" t="s">
        <v>179</v>
      </c>
      <c r="C25" s="28" t="s">
        <v>180</v>
      </c>
      <c r="D25" s="43">
        <f t="shared" si="49"/>
        <v>628</v>
      </c>
      <c r="E25" s="44">
        <f t="shared" si="50"/>
        <v>0</v>
      </c>
      <c r="F25" s="45">
        <f>F215+F311</f>
        <v>0</v>
      </c>
      <c r="G25" s="46">
        <f t="shared" ref="G25:I25" si="58">G215+G311</f>
        <v>0</v>
      </c>
      <c r="H25" s="46">
        <f t="shared" si="58"/>
        <v>0</v>
      </c>
      <c r="I25" s="46">
        <f t="shared" si="58"/>
        <v>0</v>
      </c>
      <c r="J25" s="44">
        <f t="shared" si="52"/>
        <v>628</v>
      </c>
      <c r="K25" s="46">
        <f t="shared" ref="K25:N25" si="59">K215+K311</f>
        <v>628</v>
      </c>
      <c r="L25" s="46">
        <f t="shared" si="59"/>
        <v>0</v>
      </c>
      <c r="M25" s="46">
        <f t="shared" si="59"/>
        <v>0</v>
      </c>
      <c r="N25" s="46">
        <f t="shared" si="59"/>
        <v>0</v>
      </c>
      <c r="O25" s="44">
        <f t="shared" si="54"/>
        <v>0</v>
      </c>
      <c r="P25" s="46">
        <f t="shared" ref="P25:U25" si="60">P215+P311</f>
        <v>0</v>
      </c>
      <c r="Q25" s="46">
        <f t="shared" si="60"/>
        <v>0</v>
      </c>
      <c r="R25" s="46">
        <f t="shared" si="60"/>
        <v>0</v>
      </c>
      <c r="S25" s="46">
        <f t="shared" si="60"/>
        <v>0</v>
      </c>
      <c r="T25" s="46">
        <f t="shared" si="60"/>
        <v>0</v>
      </c>
      <c r="U25" s="46">
        <f t="shared" si="60"/>
        <v>0</v>
      </c>
      <c r="V25" s="44">
        <f t="shared" si="56"/>
        <v>0</v>
      </c>
      <c r="W25" s="46">
        <f t="shared" ref="W25:X25" si="61">W215+W311</f>
        <v>0</v>
      </c>
      <c r="X25" s="46">
        <f t="shared" si="61"/>
        <v>0</v>
      </c>
      <c r="Y25" s="31"/>
    </row>
    <row r="26" spans="1:25" s="32" customFormat="1" ht="47.25" hidden="1" customHeight="1">
      <c r="A26" s="41" t="s">
        <v>90</v>
      </c>
      <c r="B26" s="42" t="s">
        <v>181</v>
      </c>
      <c r="C26" s="28" t="s">
        <v>182</v>
      </c>
      <c r="D26" s="43">
        <f t="shared" si="49"/>
        <v>4151</v>
      </c>
      <c r="E26" s="44">
        <f t="shared" si="50"/>
        <v>0</v>
      </c>
      <c r="F26" s="45">
        <f>F237</f>
        <v>0</v>
      </c>
      <c r="G26" s="46">
        <f t="shared" ref="G26:I26" si="62">G237</f>
        <v>0</v>
      </c>
      <c r="H26" s="46">
        <f t="shared" si="62"/>
        <v>0</v>
      </c>
      <c r="I26" s="46">
        <f t="shared" si="62"/>
        <v>0</v>
      </c>
      <c r="J26" s="44">
        <f t="shared" si="52"/>
        <v>0</v>
      </c>
      <c r="K26" s="46">
        <f t="shared" ref="K26:N26" si="63">K237</f>
        <v>0</v>
      </c>
      <c r="L26" s="46">
        <f t="shared" si="63"/>
        <v>0</v>
      </c>
      <c r="M26" s="46">
        <f t="shared" si="63"/>
        <v>0</v>
      </c>
      <c r="N26" s="46">
        <f t="shared" si="63"/>
        <v>0</v>
      </c>
      <c r="O26" s="44">
        <f t="shared" si="54"/>
        <v>4151</v>
      </c>
      <c r="P26" s="46">
        <f t="shared" ref="P26:U26" si="64">P237</f>
        <v>4151</v>
      </c>
      <c r="Q26" s="46">
        <f t="shared" si="64"/>
        <v>0</v>
      </c>
      <c r="R26" s="46">
        <f t="shared" si="64"/>
        <v>0</v>
      </c>
      <c r="S26" s="46">
        <f t="shared" si="64"/>
        <v>0</v>
      </c>
      <c r="T26" s="46">
        <f t="shared" si="64"/>
        <v>0</v>
      </c>
      <c r="U26" s="46">
        <f t="shared" si="64"/>
        <v>0</v>
      </c>
      <c r="V26" s="44">
        <f t="shared" si="56"/>
        <v>0</v>
      </c>
      <c r="W26" s="46">
        <f t="shared" ref="W26:X26" si="65">W237</f>
        <v>0</v>
      </c>
      <c r="X26" s="46">
        <f t="shared" si="65"/>
        <v>0</v>
      </c>
      <c r="Y26" s="31"/>
    </row>
    <row r="27" spans="1:25" s="32" customFormat="1" ht="81" hidden="1" customHeight="1">
      <c r="A27" s="41" t="s">
        <v>101</v>
      </c>
      <c r="B27" s="42" t="s">
        <v>183</v>
      </c>
      <c r="C27" s="28" t="s">
        <v>184</v>
      </c>
      <c r="D27" s="43">
        <f t="shared" si="49"/>
        <v>70</v>
      </c>
      <c r="E27" s="44">
        <f t="shared" si="50"/>
        <v>0</v>
      </c>
      <c r="F27" s="45">
        <f>F267</f>
        <v>0</v>
      </c>
      <c r="G27" s="46">
        <f t="shared" ref="G27:I27" si="66">G267</f>
        <v>0</v>
      </c>
      <c r="H27" s="46">
        <f t="shared" si="66"/>
        <v>0</v>
      </c>
      <c r="I27" s="46">
        <f t="shared" si="66"/>
        <v>0</v>
      </c>
      <c r="J27" s="44">
        <f t="shared" si="52"/>
        <v>0</v>
      </c>
      <c r="K27" s="46">
        <f t="shared" ref="K27:N27" si="67">K267</f>
        <v>0</v>
      </c>
      <c r="L27" s="46">
        <f t="shared" si="67"/>
        <v>0</v>
      </c>
      <c r="M27" s="46">
        <f t="shared" si="67"/>
        <v>0</v>
      </c>
      <c r="N27" s="46">
        <f t="shared" si="67"/>
        <v>0</v>
      </c>
      <c r="O27" s="44">
        <f t="shared" si="54"/>
        <v>0</v>
      </c>
      <c r="P27" s="46">
        <f t="shared" ref="P27:U27" si="68">P267</f>
        <v>0</v>
      </c>
      <c r="Q27" s="46">
        <f t="shared" si="68"/>
        <v>0</v>
      </c>
      <c r="R27" s="46">
        <f t="shared" si="68"/>
        <v>0</v>
      </c>
      <c r="S27" s="46">
        <f t="shared" si="68"/>
        <v>70</v>
      </c>
      <c r="T27" s="46">
        <f t="shared" si="68"/>
        <v>0</v>
      </c>
      <c r="U27" s="46">
        <f t="shared" si="68"/>
        <v>0</v>
      </c>
      <c r="V27" s="44">
        <f t="shared" si="56"/>
        <v>0</v>
      </c>
      <c r="W27" s="46">
        <f t="shared" ref="W27:X27" si="69">W267</f>
        <v>0</v>
      </c>
      <c r="X27" s="46">
        <f t="shared" si="69"/>
        <v>0</v>
      </c>
      <c r="Y27" s="31"/>
    </row>
    <row r="28" spans="1:25" s="32" customFormat="1" ht="77.25" hidden="1" customHeight="1">
      <c r="A28" s="41" t="s">
        <v>102</v>
      </c>
      <c r="B28" s="42" t="s">
        <v>185</v>
      </c>
      <c r="C28" s="28" t="s">
        <v>186</v>
      </c>
      <c r="D28" s="43">
        <f t="shared" si="49"/>
        <v>70</v>
      </c>
      <c r="E28" s="44">
        <f t="shared" si="50"/>
        <v>0</v>
      </c>
      <c r="F28" s="45">
        <f>F218</f>
        <v>0</v>
      </c>
      <c r="G28" s="46">
        <f t="shared" ref="G28:I28" si="70">G218</f>
        <v>0</v>
      </c>
      <c r="H28" s="46">
        <f t="shared" si="70"/>
        <v>0</v>
      </c>
      <c r="I28" s="46">
        <f t="shared" si="70"/>
        <v>0</v>
      </c>
      <c r="J28" s="44">
        <f t="shared" si="52"/>
        <v>0</v>
      </c>
      <c r="K28" s="46">
        <f t="shared" ref="K28:N28" si="71">K218</f>
        <v>0</v>
      </c>
      <c r="L28" s="46">
        <f t="shared" si="71"/>
        <v>0</v>
      </c>
      <c r="M28" s="46">
        <f t="shared" si="71"/>
        <v>0</v>
      </c>
      <c r="N28" s="46">
        <f t="shared" si="71"/>
        <v>70</v>
      </c>
      <c r="O28" s="44">
        <f t="shared" si="54"/>
        <v>0</v>
      </c>
      <c r="P28" s="46">
        <f t="shared" ref="P28:U28" si="72">P218</f>
        <v>0</v>
      </c>
      <c r="Q28" s="46">
        <f t="shared" si="72"/>
        <v>0</v>
      </c>
      <c r="R28" s="46">
        <f t="shared" si="72"/>
        <v>0</v>
      </c>
      <c r="S28" s="46">
        <f t="shared" si="72"/>
        <v>0</v>
      </c>
      <c r="T28" s="46">
        <f t="shared" si="72"/>
        <v>0</v>
      </c>
      <c r="U28" s="46">
        <f t="shared" si="72"/>
        <v>0</v>
      </c>
      <c r="V28" s="44">
        <f t="shared" si="56"/>
        <v>0</v>
      </c>
      <c r="W28" s="46">
        <f t="shared" ref="W28:X28" si="73">W218</f>
        <v>0</v>
      </c>
      <c r="X28" s="46">
        <f t="shared" si="73"/>
        <v>0</v>
      </c>
      <c r="Y28" s="31"/>
    </row>
    <row r="29" spans="1:25" s="32" customFormat="1" ht="158.25" hidden="1" customHeight="1">
      <c r="A29" s="41" t="s">
        <v>103</v>
      </c>
      <c r="B29" s="49" t="s">
        <v>187</v>
      </c>
      <c r="C29" s="28" t="s">
        <v>188</v>
      </c>
      <c r="D29" s="43">
        <f t="shared" si="49"/>
        <v>380</v>
      </c>
      <c r="E29" s="44">
        <f t="shared" si="50"/>
        <v>0</v>
      </c>
      <c r="F29" s="45">
        <f>F292</f>
        <v>0</v>
      </c>
      <c r="G29" s="46">
        <f t="shared" ref="G29:I29" si="74">G292</f>
        <v>0</v>
      </c>
      <c r="H29" s="46">
        <f t="shared" si="74"/>
        <v>0</v>
      </c>
      <c r="I29" s="46">
        <f t="shared" si="74"/>
        <v>0</v>
      </c>
      <c r="J29" s="44">
        <f t="shared" si="52"/>
        <v>0</v>
      </c>
      <c r="K29" s="46">
        <f t="shared" ref="K29:N29" si="75">K292</f>
        <v>0</v>
      </c>
      <c r="L29" s="46">
        <f t="shared" si="75"/>
        <v>0</v>
      </c>
      <c r="M29" s="46">
        <f t="shared" si="75"/>
        <v>0</v>
      </c>
      <c r="N29" s="46">
        <f t="shared" si="75"/>
        <v>0</v>
      </c>
      <c r="O29" s="44">
        <f t="shared" si="54"/>
        <v>0</v>
      </c>
      <c r="P29" s="46">
        <f t="shared" ref="P29:U29" si="76">P292</f>
        <v>0</v>
      </c>
      <c r="Q29" s="46">
        <f t="shared" si="76"/>
        <v>0</v>
      </c>
      <c r="R29" s="46">
        <f t="shared" si="76"/>
        <v>0</v>
      </c>
      <c r="S29" s="46">
        <f t="shared" si="76"/>
        <v>380</v>
      </c>
      <c r="T29" s="46">
        <f t="shared" si="76"/>
        <v>0</v>
      </c>
      <c r="U29" s="46">
        <f t="shared" si="76"/>
        <v>0</v>
      </c>
      <c r="V29" s="44">
        <f t="shared" si="56"/>
        <v>0</v>
      </c>
      <c r="W29" s="46">
        <f t="shared" ref="W29:X29" si="77">W292</f>
        <v>0</v>
      </c>
      <c r="X29" s="46">
        <f t="shared" si="77"/>
        <v>0</v>
      </c>
      <c r="Y29" s="31"/>
    </row>
    <row r="30" spans="1:25" s="32" customFormat="1" ht="68.25" hidden="1" customHeight="1">
      <c r="A30" s="41" t="s">
        <v>104</v>
      </c>
      <c r="B30" s="42" t="s">
        <v>189</v>
      </c>
      <c r="C30" s="28" t="s">
        <v>190</v>
      </c>
      <c r="D30" s="43">
        <f t="shared" si="49"/>
        <v>285</v>
      </c>
      <c r="E30" s="44">
        <f t="shared" si="50"/>
        <v>285</v>
      </c>
      <c r="F30" s="45">
        <f>F324+F329+F334</f>
        <v>0</v>
      </c>
      <c r="G30" s="46">
        <f t="shared" ref="G30:I30" si="78">G324+G329+G334</f>
        <v>0</v>
      </c>
      <c r="H30" s="46">
        <f t="shared" si="78"/>
        <v>285</v>
      </c>
      <c r="I30" s="46">
        <f t="shared" si="78"/>
        <v>0</v>
      </c>
      <c r="J30" s="44">
        <f t="shared" si="52"/>
        <v>0</v>
      </c>
      <c r="K30" s="46">
        <f t="shared" ref="K30:N30" si="79">K324+K329+K334</f>
        <v>0</v>
      </c>
      <c r="L30" s="46">
        <f t="shared" si="79"/>
        <v>0</v>
      </c>
      <c r="M30" s="46">
        <f t="shared" si="79"/>
        <v>0</v>
      </c>
      <c r="N30" s="46">
        <f t="shared" si="79"/>
        <v>0</v>
      </c>
      <c r="O30" s="44">
        <f t="shared" si="54"/>
        <v>0</v>
      </c>
      <c r="P30" s="46">
        <f t="shared" ref="P30:U30" si="80">P324+P329+P334</f>
        <v>0</v>
      </c>
      <c r="Q30" s="46">
        <f t="shared" si="80"/>
        <v>0</v>
      </c>
      <c r="R30" s="46">
        <f t="shared" si="80"/>
        <v>0</v>
      </c>
      <c r="S30" s="46">
        <f t="shared" si="80"/>
        <v>0</v>
      </c>
      <c r="T30" s="46">
        <f t="shared" si="80"/>
        <v>0</v>
      </c>
      <c r="U30" s="46">
        <f t="shared" si="80"/>
        <v>0</v>
      </c>
      <c r="V30" s="44">
        <f t="shared" si="56"/>
        <v>0</v>
      </c>
      <c r="W30" s="46">
        <f t="shared" ref="W30:X30" si="81">W324+W329+W334</f>
        <v>0</v>
      </c>
      <c r="X30" s="46">
        <f t="shared" si="81"/>
        <v>0</v>
      </c>
      <c r="Y30" s="31"/>
    </row>
    <row r="31" spans="1:25" s="32" customFormat="1" ht="94.5" hidden="1" customHeight="1">
      <c r="A31" s="41" t="s">
        <v>105</v>
      </c>
      <c r="B31" s="42" t="s">
        <v>191</v>
      </c>
      <c r="C31" s="28" t="s">
        <v>192</v>
      </c>
      <c r="D31" s="43">
        <f t="shared" si="49"/>
        <v>1903</v>
      </c>
      <c r="E31" s="44">
        <f t="shared" si="50"/>
        <v>846</v>
      </c>
      <c r="F31" s="45">
        <f>F221+F228+F232+F248+F261+F270+F285+F295+F307+F314+F319+F339+F344+F349+F353+F357</f>
        <v>654</v>
      </c>
      <c r="G31" s="46">
        <f t="shared" ref="G31:I31" si="82">G221+G228+G232+G248+G261+G270+G285+G295+G307+G314+G319+G339+G344+G349+G353+G357</f>
        <v>20</v>
      </c>
      <c r="H31" s="46">
        <f t="shared" si="82"/>
        <v>0</v>
      </c>
      <c r="I31" s="46">
        <f t="shared" si="82"/>
        <v>172</v>
      </c>
      <c r="J31" s="44">
        <f t="shared" si="52"/>
        <v>0</v>
      </c>
      <c r="K31" s="46">
        <f t="shared" ref="K31:N31" si="83">K221+K228+K232+K248+K261+K270+K285+K295+K307+K314+K319+K339+K344+K349+K353+K357</f>
        <v>0</v>
      </c>
      <c r="L31" s="46">
        <f t="shared" si="83"/>
        <v>0</v>
      </c>
      <c r="M31" s="46">
        <f t="shared" si="83"/>
        <v>0</v>
      </c>
      <c r="N31" s="46">
        <f t="shared" si="83"/>
        <v>0</v>
      </c>
      <c r="O31" s="44">
        <f t="shared" si="54"/>
        <v>0</v>
      </c>
      <c r="P31" s="46">
        <f t="shared" ref="P31:U31" si="84">P221+P228+P232+P248+P261+P270+P285+P295+P307+P314+P319+P339+P344+P349+P353+P357</f>
        <v>0</v>
      </c>
      <c r="Q31" s="46">
        <f t="shared" si="84"/>
        <v>0</v>
      </c>
      <c r="R31" s="46">
        <f t="shared" si="84"/>
        <v>0</v>
      </c>
      <c r="S31" s="46">
        <f t="shared" si="84"/>
        <v>410</v>
      </c>
      <c r="T31" s="46">
        <f t="shared" si="84"/>
        <v>233</v>
      </c>
      <c r="U31" s="46">
        <f t="shared" si="84"/>
        <v>0</v>
      </c>
      <c r="V31" s="44">
        <f t="shared" si="56"/>
        <v>414</v>
      </c>
      <c r="W31" s="46">
        <f t="shared" ref="W31:X31" si="85">W221+W228+W232+W248+W261+W270+W285+W295+W307+W314+W319+W339+W344+W349+W353+W357</f>
        <v>386</v>
      </c>
      <c r="X31" s="46">
        <f t="shared" si="85"/>
        <v>28</v>
      </c>
      <c r="Y31" s="31"/>
    </row>
    <row r="32" spans="1:25" s="32" customFormat="1" ht="43.5" hidden="1" customHeight="1">
      <c r="A32" s="31" t="s">
        <v>109</v>
      </c>
      <c r="B32" s="33" t="s">
        <v>193</v>
      </c>
      <c r="C32" s="34" t="s">
        <v>194</v>
      </c>
      <c r="D32" s="29">
        <f>D33+D36+D45+D48</f>
        <v>8748</v>
      </c>
      <c r="E32" s="29">
        <f t="shared" ref="E32:X32" si="86">E33+E36+E45+E48</f>
        <v>0</v>
      </c>
      <c r="F32" s="30">
        <f t="shared" si="86"/>
        <v>0</v>
      </c>
      <c r="G32" s="29">
        <f t="shared" si="86"/>
        <v>0</v>
      </c>
      <c r="H32" s="29">
        <f t="shared" si="86"/>
        <v>0</v>
      </c>
      <c r="I32" s="29">
        <f t="shared" si="86"/>
        <v>0</v>
      </c>
      <c r="J32" s="29">
        <f t="shared" si="86"/>
        <v>12</v>
      </c>
      <c r="K32" s="29">
        <f t="shared" si="86"/>
        <v>0</v>
      </c>
      <c r="L32" s="29">
        <f t="shared" si="86"/>
        <v>0</v>
      </c>
      <c r="M32" s="29">
        <f t="shared" si="86"/>
        <v>12</v>
      </c>
      <c r="N32" s="29">
        <f t="shared" si="86"/>
        <v>0</v>
      </c>
      <c r="O32" s="29">
        <f t="shared" si="86"/>
        <v>4630</v>
      </c>
      <c r="P32" s="29">
        <f t="shared" si="86"/>
        <v>4630</v>
      </c>
      <c r="Q32" s="29">
        <f t="shared" si="86"/>
        <v>0</v>
      </c>
      <c r="R32" s="29">
        <f t="shared" si="86"/>
        <v>0</v>
      </c>
      <c r="S32" s="29">
        <f t="shared" si="86"/>
        <v>2671</v>
      </c>
      <c r="T32" s="29">
        <f t="shared" si="86"/>
        <v>0</v>
      </c>
      <c r="U32" s="29">
        <f t="shared" si="86"/>
        <v>1435</v>
      </c>
      <c r="V32" s="29">
        <f t="shared" si="86"/>
        <v>0</v>
      </c>
      <c r="W32" s="29">
        <f t="shared" si="86"/>
        <v>0</v>
      </c>
      <c r="X32" s="29">
        <f t="shared" si="86"/>
        <v>0</v>
      </c>
      <c r="Y32" s="31"/>
    </row>
    <row r="33" spans="1:25" s="55" customFormat="1" ht="42" hidden="1" customHeight="1">
      <c r="A33" s="50" t="s">
        <v>3</v>
      </c>
      <c r="B33" s="51" t="s">
        <v>195</v>
      </c>
      <c r="C33" s="52" t="s">
        <v>196</v>
      </c>
      <c r="D33" s="53">
        <f>D34</f>
        <v>4630</v>
      </c>
      <c r="E33" s="53">
        <f t="shared" ref="E33:X34" si="87">E34</f>
        <v>0</v>
      </c>
      <c r="F33" s="54">
        <f t="shared" si="87"/>
        <v>0</v>
      </c>
      <c r="G33" s="53">
        <f t="shared" si="87"/>
        <v>0</v>
      </c>
      <c r="H33" s="53">
        <f t="shared" si="87"/>
        <v>0</v>
      </c>
      <c r="I33" s="53">
        <f t="shared" si="87"/>
        <v>0</v>
      </c>
      <c r="J33" s="53">
        <f t="shared" si="87"/>
        <v>0</v>
      </c>
      <c r="K33" s="53">
        <f t="shared" si="87"/>
        <v>0</v>
      </c>
      <c r="L33" s="53">
        <f t="shared" si="87"/>
        <v>0</v>
      </c>
      <c r="M33" s="53">
        <f t="shared" si="87"/>
        <v>0</v>
      </c>
      <c r="N33" s="53">
        <f t="shared" si="87"/>
        <v>0</v>
      </c>
      <c r="O33" s="53">
        <f t="shared" si="87"/>
        <v>4630</v>
      </c>
      <c r="P33" s="53">
        <f t="shared" si="87"/>
        <v>4630</v>
      </c>
      <c r="Q33" s="53">
        <f t="shared" si="87"/>
        <v>0</v>
      </c>
      <c r="R33" s="53">
        <f t="shared" si="87"/>
        <v>0</v>
      </c>
      <c r="S33" s="53">
        <f t="shared" si="87"/>
        <v>0</v>
      </c>
      <c r="T33" s="53">
        <f t="shared" si="87"/>
        <v>0</v>
      </c>
      <c r="U33" s="53">
        <f t="shared" si="87"/>
        <v>0</v>
      </c>
      <c r="V33" s="53">
        <f t="shared" si="87"/>
        <v>0</v>
      </c>
      <c r="W33" s="53">
        <f t="shared" si="87"/>
        <v>0</v>
      </c>
      <c r="X33" s="53">
        <f t="shared" si="87"/>
        <v>0</v>
      </c>
      <c r="Y33" s="50"/>
    </row>
    <row r="34" spans="1:25" s="62" customFormat="1" ht="90.75" hidden="1" customHeight="1">
      <c r="A34" s="56"/>
      <c r="B34" s="57" t="s">
        <v>197</v>
      </c>
      <c r="C34" s="58"/>
      <c r="D34" s="59">
        <f>D35</f>
        <v>4630</v>
      </c>
      <c r="E34" s="59">
        <f t="shared" si="87"/>
        <v>0</v>
      </c>
      <c r="F34" s="60">
        <f t="shared" si="87"/>
        <v>0</v>
      </c>
      <c r="G34" s="59">
        <f t="shared" si="87"/>
        <v>0</v>
      </c>
      <c r="H34" s="59">
        <f t="shared" si="87"/>
        <v>0</v>
      </c>
      <c r="I34" s="59">
        <f t="shared" si="87"/>
        <v>0</v>
      </c>
      <c r="J34" s="59">
        <f t="shared" si="87"/>
        <v>0</v>
      </c>
      <c r="K34" s="59">
        <f t="shared" si="87"/>
        <v>0</v>
      </c>
      <c r="L34" s="59">
        <f t="shared" si="87"/>
        <v>0</v>
      </c>
      <c r="M34" s="59">
        <f t="shared" si="87"/>
        <v>0</v>
      </c>
      <c r="N34" s="59">
        <f t="shared" si="87"/>
        <v>0</v>
      </c>
      <c r="O34" s="59">
        <f t="shared" si="87"/>
        <v>4630</v>
      </c>
      <c r="P34" s="59">
        <f t="shared" si="87"/>
        <v>4630</v>
      </c>
      <c r="Q34" s="59">
        <f t="shared" si="87"/>
        <v>0</v>
      </c>
      <c r="R34" s="59">
        <f t="shared" si="87"/>
        <v>0</v>
      </c>
      <c r="S34" s="59">
        <f t="shared" si="87"/>
        <v>0</v>
      </c>
      <c r="T34" s="59">
        <f t="shared" si="87"/>
        <v>0</v>
      </c>
      <c r="U34" s="59">
        <f t="shared" si="87"/>
        <v>0</v>
      </c>
      <c r="V34" s="59">
        <f t="shared" si="87"/>
        <v>0</v>
      </c>
      <c r="W34" s="59">
        <f t="shared" si="87"/>
        <v>0</v>
      </c>
      <c r="X34" s="59">
        <f t="shared" si="87"/>
        <v>0</v>
      </c>
      <c r="Y34" s="61"/>
    </row>
    <row r="35" spans="1:25" s="32" customFormat="1" ht="25.5" hidden="1" customHeight="1">
      <c r="A35" s="41"/>
      <c r="B35" s="42" t="s">
        <v>198</v>
      </c>
      <c r="C35" s="28"/>
      <c r="D35" s="43">
        <f t="shared" ref="D35" si="88">E35+J35+N35+O35+SUM(R35:V35)</f>
        <v>4630</v>
      </c>
      <c r="E35" s="44">
        <f t="shared" ref="E35" si="89">SUM(F35:I35)</f>
        <v>0</v>
      </c>
      <c r="F35" s="45">
        <f>F87+F240</f>
        <v>0</v>
      </c>
      <c r="G35" s="46">
        <f t="shared" ref="G35:X35" si="90">G87+G240</f>
        <v>0</v>
      </c>
      <c r="H35" s="46">
        <f t="shared" si="90"/>
        <v>0</v>
      </c>
      <c r="I35" s="46">
        <f t="shared" si="90"/>
        <v>0</v>
      </c>
      <c r="J35" s="44">
        <f t="shared" ref="J35" si="91">SUM(K35:M35)</f>
        <v>0</v>
      </c>
      <c r="K35" s="46">
        <f t="shared" si="90"/>
        <v>0</v>
      </c>
      <c r="L35" s="46">
        <f t="shared" si="90"/>
        <v>0</v>
      </c>
      <c r="M35" s="46">
        <f t="shared" si="90"/>
        <v>0</v>
      </c>
      <c r="N35" s="46">
        <f t="shared" si="90"/>
        <v>0</v>
      </c>
      <c r="O35" s="44">
        <f t="shared" ref="O35" si="92">SUM(P35:Q35)</f>
        <v>4630</v>
      </c>
      <c r="P35" s="46">
        <f t="shared" si="90"/>
        <v>4630</v>
      </c>
      <c r="Q35" s="46">
        <f t="shared" si="90"/>
        <v>0</v>
      </c>
      <c r="R35" s="46">
        <f t="shared" si="90"/>
        <v>0</v>
      </c>
      <c r="S35" s="46">
        <f t="shared" si="90"/>
        <v>0</v>
      </c>
      <c r="T35" s="46">
        <f t="shared" si="90"/>
        <v>0</v>
      </c>
      <c r="U35" s="46">
        <f t="shared" si="90"/>
        <v>0</v>
      </c>
      <c r="V35" s="44">
        <f t="shared" ref="V35" si="93">SUM(W35:X35)</f>
        <v>0</v>
      </c>
      <c r="W35" s="46">
        <f t="shared" si="90"/>
        <v>0</v>
      </c>
      <c r="X35" s="46">
        <f t="shared" si="90"/>
        <v>0</v>
      </c>
      <c r="Y35" s="31"/>
    </row>
    <row r="36" spans="1:25" s="55" customFormat="1" ht="46.5" hidden="1" customHeight="1">
      <c r="A36" s="50" t="s">
        <v>5</v>
      </c>
      <c r="B36" s="51" t="s">
        <v>199</v>
      </c>
      <c r="C36" s="52" t="s">
        <v>200</v>
      </c>
      <c r="D36" s="53">
        <f>SUM(D37:D44)</f>
        <v>2554</v>
      </c>
      <c r="E36" s="53">
        <f t="shared" ref="E36:X36" si="94">SUM(E37:E44)</f>
        <v>0</v>
      </c>
      <c r="F36" s="54">
        <f t="shared" si="94"/>
        <v>0</v>
      </c>
      <c r="G36" s="53">
        <f t="shared" si="94"/>
        <v>0</v>
      </c>
      <c r="H36" s="53">
        <f t="shared" si="94"/>
        <v>0</v>
      </c>
      <c r="I36" s="53">
        <f t="shared" si="94"/>
        <v>0</v>
      </c>
      <c r="J36" s="53">
        <f t="shared" si="94"/>
        <v>0</v>
      </c>
      <c r="K36" s="53">
        <f t="shared" si="94"/>
        <v>0</v>
      </c>
      <c r="L36" s="53">
        <f t="shared" si="94"/>
        <v>0</v>
      </c>
      <c r="M36" s="53">
        <f t="shared" si="94"/>
        <v>0</v>
      </c>
      <c r="N36" s="53">
        <f t="shared" si="94"/>
        <v>0</v>
      </c>
      <c r="O36" s="53">
        <f t="shared" si="94"/>
        <v>0</v>
      </c>
      <c r="P36" s="53">
        <f t="shared" si="94"/>
        <v>0</v>
      </c>
      <c r="Q36" s="53">
        <f t="shared" si="94"/>
        <v>0</v>
      </c>
      <c r="R36" s="53">
        <f t="shared" si="94"/>
        <v>0</v>
      </c>
      <c r="S36" s="53">
        <f t="shared" si="94"/>
        <v>2554</v>
      </c>
      <c r="T36" s="53">
        <f t="shared" si="94"/>
        <v>0</v>
      </c>
      <c r="U36" s="53">
        <f t="shared" si="94"/>
        <v>0</v>
      </c>
      <c r="V36" s="53">
        <f t="shared" si="94"/>
        <v>0</v>
      </c>
      <c r="W36" s="53">
        <f t="shared" si="94"/>
        <v>0</v>
      </c>
      <c r="X36" s="53">
        <f t="shared" si="94"/>
        <v>0</v>
      </c>
      <c r="Y36" s="50"/>
    </row>
    <row r="37" spans="1:25" s="32" customFormat="1" ht="43.5" hidden="1" customHeight="1">
      <c r="A37" s="41">
        <v>1</v>
      </c>
      <c r="B37" s="42" t="s">
        <v>201</v>
      </c>
      <c r="C37" s="28"/>
      <c r="D37" s="43">
        <f t="shared" ref="D37:D44" si="95">E37+J37+N37+O37+SUM(R37:V37)</f>
        <v>288</v>
      </c>
      <c r="E37" s="44">
        <f t="shared" ref="E37:E44" si="96">SUM(F37:I37)</f>
        <v>0</v>
      </c>
      <c r="F37" s="45">
        <f>F122+F275</f>
        <v>0</v>
      </c>
      <c r="G37" s="46">
        <f t="shared" ref="G37:I37" si="97">G122+G275</f>
        <v>0</v>
      </c>
      <c r="H37" s="46">
        <f t="shared" si="97"/>
        <v>0</v>
      </c>
      <c r="I37" s="46">
        <f t="shared" si="97"/>
        <v>0</v>
      </c>
      <c r="J37" s="44">
        <f t="shared" ref="J37:J44" si="98">SUM(K37:M37)</f>
        <v>0</v>
      </c>
      <c r="K37" s="46">
        <f t="shared" ref="K37:N44" si="99">K122+K275</f>
        <v>0</v>
      </c>
      <c r="L37" s="46">
        <f t="shared" si="99"/>
        <v>0</v>
      </c>
      <c r="M37" s="46">
        <f t="shared" si="99"/>
        <v>0</v>
      </c>
      <c r="N37" s="46">
        <f t="shared" si="99"/>
        <v>0</v>
      </c>
      <c r="O37" s="44">
        <f t="shared" ref="O37:O44" si="100">SUM(P37:Q37)</f>
        <v>0</v>
      </c>
      <c r="P37" s="46">
        <f t="shared" ref="P37:U44" si="101">P122+P275</f>
        <v>0</v>
      </c>
      <c r="Q37" s="46">
        <f t="shared" si="101"/>
        <v>0</v>
      </c>
      <c r="R37" s="46">
        <f t="shared" si="101"/>
        <v>0</v>
      </c>
      <c r="S37" s="46">
        <f t="shared" si="101"/>
        <v>288</v>
      </c>
      <c r="T37" s="46">
        <f t="shared" si="101"/>
        <v>0</v>
      </c>
      <c r="U37" s="46">
        <f t="shared" si="101"/>
        <v>0</v>
      </c>
      <c r="V37" s="44">
        <f t="shared" ref="V37:V44" si="102">SUM(W37:X37)</f>
        <v>0</v>
      </c>
      <c r="W37" s="46">
        <f t="shared" ref="W37:X44" si="103">W122+W275</f>
        <v>0</v>
      </c>
      <c r="X37" s="46">
        <f t="shared" si="103"/>
        <v>0</v>
      </c>
      <c r="Y37" s="31"/>
    </row>
    <row r="38" spans="1:25" s="32" customFormat="1" ht="46.5" hidden="1" customHeight="1">
      <c r="A38" s="41">
        <v>2</v>
      </c>
      <c r="B38" s="42" t="s">
        <v>202</v>
      </c>
      <c r="C38" s="28"/>
      <c r="D38" s="43">
        <f t="shared" si="95"/>
        <v>58</v>
      </c>
      <c r="E38" s="44">
        <f t="shared" si="96"/>
        <v>0</v>
      </c>
      <c r="F38" s="45">
        <f t="shared" ref="F38:I44" si="104">F123+F276</f>
        <v>0</v>
      </c>
      <c r="G38" s="46">
        <f t="shared" si="104"/>
        <v>0</v>
      </c>
      <c r="H38" s="46">
        <f t="shared" si="104"/>
        <v>0</v>
      </c>
      <c r="I38" s="46">
        <f t="shared" si="104"/>
        <v>0</v>
      </c>
      <c r="J38" s="44">
        <f t="shared" si="98"/>
        <v>0</v>
      </c>
      <c r="K38" s="46">
        <f t="shared" si="99"/>
        <v>0</v>
      </c>
      <c r="L38" s="46">
        <f t="shared" si="99"/>
        <v>0</v>
      </c>
      <c r="M38" s="46">
        <f t="shared" si="99"/>
        <v>0</v>
      </c>
      <c r="N38" s="46">
        <f t="shared" si="99"/>
        <v>0</v>
      </c>
      <c r="O38" s="44">
        <f t="shared" si="100"/>
        <v>0</v>
      </c>
      <c r="P38" s="46">
        <f t="shared" si="101"/>
        <v>0</v>
      </c>
      <c r="Q38" s="46">
        <f t="shared" si="101"/>
        <v>0</v>
      </c>
      <c r="R38" s="46">
        <f t="shared" si="101"/>
        <v>0</v>
      </c>
      <c r="S38" s="46">
        <f t="shared" si="101"/>
        <v>58</v>
      </c>
      <c r="T38" s="46">
        <f t="shared" si="101"/>
        <v>0</v>
      </c>
      <c r="U38" s="46">
        <f t="shared" si="101"/>
        <v>0</v>
      </c>
      <c r="V38" s="44">
        <f t="shared" si="102"/>
        <v>0</v>
      </c>
      <c r="W38" s="46">
        <f t="shared" si="103"/>
        <v>0</v>
      </c>
      <c r="X38" s="46">
        <f t="shared" si="103"/>
        <v>0</v>
      </c>
      <c r="Y38" s="31"/>
    </row>
    <row r="39" spans="1:25" s="32" customFormat="1" ht="56.25" hidden="1" customHeight="1">
      <c r="A39" s="41">
        <v>3</v>
      </c>
      <c r="B39" s="42" t="s">
        <v>203</v>
      </c>
      <c r="C39" s="28"/>
      <c r="D39" s="43">
        <f t="shared" si="95"/>
        <v>345</v>
      </c>
      <c r="E39" s="44">
        <f t="shared" si="96"/>
        <v>0</v>
      </c>
      <c r="F39" s="45">
        <f t="shared" si="104"/>
        <v>0</v>
      </c>
      <c r="G39" s="46">
        <f t="shared" si="104"/>
        <v>0</v>
      </c>
      <c r="H39" s="46">
        <f t="shared" si="104"/>
        <v>0</v>
      </c>
      <c r="I39" s="46">
        <f t="shared" si="104"/>
        <v>0</v>
      </c>
      <c r="J39" s="44">
        <f t="shared" si="98"/>
        <v>0</v>
      </c>
      <c r="K39" s="46">
        <f t="shared" si="99"/>
        <v>0</v>
      </c>
      <c r="L39" s="46">
        <f t="shared" si="99"/>
        <v>0</v>
      </c>
      <c r="M39" s="46">
        <f t="shared" si="99"/>
        <v>0</v>
      </c>
      <c r="N39" s="46">
        <f t="shared" si="99"/>
        <v>0</v>
      </c>
      <c r="O39" s="44">
        <f t="shared" si="100"/>
        <v>0</v>
      </c>
      <c r="P39" s="46">
        <f t="shared" si="101"/>
        <v>0</v>
      </c>
      <c r="Q39" s="46">
        <f t="shared" si="101"/>
        <v>0</v>
      </c>
      <c r="R39" s="46">
        <f t="shared" si="101"/>
        <v>0</v>
      </c>
      <c r="S39" s="46">
        <f t="shared" si="101"/>
        <v>345</v>
      </c>
      <c r="T39" s="46">
        <f t="shared" si="101"/>
        <v>0</v>
      </c>
      <c r="U39" s="46">
        <f t="shared" si="101"/>
        <v>0</v>
      </c>
      <c r="V39" s="44">
        <f t="shared" si="102"/>
        <v>0</v>
      </c>
      <c r="W39" s="46">
        <f t="shared" si="103"/>
        <v>0</v>
      </c>
      <c r="X39" s="46">
        <f t="shared" si="103"/>
        <v>0</v>
      </c>
      <c r="Y39" s="31"/>
    </row>
    <row r="40" spans="1:25" s="32" customFormat="1" ht="26.25" hidden="1" customHeight="1">
      <c r="A40" s="41">
        <v>4</v>
      </c>
      <c r="B40" s="42" t="s">
        <v>204</v>
      </c>
      <c r="C40" s="28"/>
      <c r="D40" s="43">
        <f t="shared" si="95"/>
        <v>460</v>
      </c>
      <c r="E40" s="44">
        <f t="shared" si="96"/>
        <v>0</v>
      </c>
      <c r="F40" s="45">
        <f t="shared" si="104"/>
        <v>0</v>
      </c>
      <c r="G40" s="46">
        <f t="shared" si="104"/>
        <v>0</v>
      </c>
      <c r="H40" s="46">
        <f t="shared" si="104"/>
        <v>0</v>
      </c>
      <c r="I40" s="46">
        <f t="shared" si="104"/>
        <v>0</v>
      </c>
      <c r="J40" s="44">
        <f t="shared" si="98"/>
        <v>0</v>
      </c>
      <c r="K40" s="46">
        <f t="shared" si="99"/>
        <v>0</v>
      </c>
      <c r="L40" s="46">
        <f t="shared" si="99"/>
        <v>0</v>
      </c>
      <c r="M40" s="46">
        <f t="shared" si="99"/>
        <v>0</v>
      </c>
      <c r="N40" s="46">
        <f t="shared" si="99"/>
        <v>0</v>
      </c>
      <c r="O40" s="44">
        <f t="shared" si="100"/>
        <v>0</v>
      </c>
      <c r="P40" s="46">
        <f t="shared" si="101"/>
        <v>0</v>
      </c>
      <c r="Q40" s="46">
        <f t="shared" si="101"/>
        <v>0</v>
      </c>
      <c r="R40" s="46">
        <f t="shared" si="101"/>
        <v>0</v>
      </c>
      <c r="S40" s="46">
        <f t="shared" si="101"/>
        <v>460</v>
      </c>
      <c r="T40" s="46">
        <f t="shared" si="101"/>
        <v>0</v>
      </c>
      <c r="U40" s="46">
        <f t="shared" si="101"/>
        <v>0</v>
      </c>
      <c r="V40" s="44">
        <f t="shared" si="102"/>
        <v>0</v>
      </c>
      <c r="W40" s="46">
        <f t="shared" si="103"/>
        <v>0</v>
      </c>
      <c r="X40" s="46">
        <f t="shared" si="103"/>
        <v>0</v>
      </c>
      <c r="Y40" s="31"/>
    </row>
    <row r="41" spans="1:25" s="32" customFormat="1" ht="43.5" hidden="1" customHeight="1">
      <c r="A41" s="41">
        <v>5</v>
      </c>
      <c r="B41" s="42" t="s">
        <v>205</v>
      </c>
      <c r="C41" s="28"/>
      <c r="D41" s="43">
        <f t="shared" si="95"/>
        <v>115</v>
      </c>
      <c r="E41" s="44">
        <f t="shared" si="96"/>
        <v>0</v>
      </c>
      <c r="F41" s="45">
        <f t="shared" si="104"/>
        <v>0</v>
      </c>
      <c r="G41" s="46">
        <f t="shared" si="104"/>
        <v>0</v>
      </c>
      <c r="H41" s="46">
        <f t="shared" si="104"/>
        <v>0</v>
      </c>
      <c r="I41" s="46">
        <f t="shared" si="104"/>
        <v>0</v>
      </c>
      <c r="J41" s="44">
        <f t="shared" si="98"/>
        <v>0</v>
      </c>
      <c r="K41" s="46">
        <f t="shared" si="99"/>
        <v>0</v>
      </c>
      <c r="L41" s="46">
        <f t="shared" si="99"/>
        <v>0</v>
      </c>
      <c r="M41" s="46">
        <f t="shared" si="99"/>
        <v>0</v>
      </c>
      <c r="N41" s="46">
        <f t="shared" si="99"/>
        <v>0</v>
      </c>
      <c r="O41" s="44">
        <f t="shared" si="100"/>
        <v>0</v>
      </c>
      <c r="P41" s="46">
        <f t="shared" si="101"/>
        <v>0</v>
      </c>
      <c r="Q41" s="46">
        <f t="shared" si="101"/>
        <v>0</v>
      </c>
      <c r="R41" s="46">
        <f t="shared" si="101"/>
        <v>0</v>
      </c>
      <c r="S41" s="46">
        <f t="shared" si="101"/>
        <v>115</v>
      </c>
      <c r="T41" s="46">
        <f t="shared" si="101"/>
        <v>0</v>
      </c>
      <c r="U41" s="46">
        <f t="shared" si="101"/>
        <v>0</v>
      </c>
      <c r="V41" s="44">
        <f t="shared" si="102"/>
        <v>0</v>
      </c>
      <c r="W41" s="46">
        <f t="shared" si="103"/>
        <v>0</v>
      </c>
      <c r="X41" s="46">
        <f t="shared" si="103"/>
        <v>0</v>
      </c>
      <c r="Y41" s="31"/>
    </row>
    <row r="42" spans="1:25" s="32" customFormat="1" ht="30" hidden="1" customHeight="1">
      <c r="A42" s="41">
        <v>6</v>
      </c>
      <c r="B42" s="42" t="s">
        <v>206</v>
      </c>
      <c r="C42" s="28"/>
      <c r="D42" s="43">
        <f t="shared" si="95"/>
        <v>828</v>
      </c>
      <c r="E42" s="44">
        <f t="shared" si="96"/>
        <v>0</v>
      </c>
      <c r="F42" s="45">
        <f t="shared" si="104"/>
        <v>0</v>
      </c>
      <c r="G42" s="46">
        <f t="shared" si="104"/>
        <v>0</v>
      </c>
      <c r="H42" s="46">
        <f t="shared" si="104"/>
        <v>0</v>
      </c>
      <c r="I42" s="46">
        <f t="shared" si="104"/>
        <v>0</v>
      </c>
      <c r="J42" s="44">
        <f t="shared" si="98"/>
        <v>0</v>
      </c>
      <c r="K42" s="46">
        <f t="shared" si="99"/>
        <v>0</v>
      </c>
      <c r="L42" s="46">
        <f t="shared" si="99"/>
        <v>0</v>
      </c>
      <c r="M42" s="46">
        <f t="shared" si="99"/>
        <v>0</v>
      </c>
      <c r="N42" s="46">
        <f t="shared" si="99"/>
        <v>0</v>
      </c>
      <c r="O42" s="44">
        <f t="shared" si="100"/>
        <v>0</v>
      </c>
      <c r="P42" s="46">
        <f t="shared" si="101"/>
        <v>0</v>
      </c>
      <c r="Q42" s="46">
        <f t="shared" si="101"/>
        <v>0</v>
      </c>
      <c r="R42" s="46">
        <f t="shared" si="101"/>
        <v>0</v>
      </c>
      <c r="S42" s="46">
        <f t="shared" si="101"/>
        <v>828</v>
      </c>
      <c r="T42" s="46">
        <f t="shared" si="101"/>
        <v>0</v>
      </c>
      <c r="U42" s="46">
        <f t="shared" si="101"/>
        <v>0</v>
      </c>
      <c r="V42" s="44">
        <f t="shared" si="102"/>
        <v>0</v>
      </c>
      <c r="W42" s="46">
        <f t="shared" si="103"/>
        <v>0</v>
      </c>
      <c r="X42" s="46">
        <f t="shared" si="103"/>
        <v>0</v>
      </c>
      <c r="Y42" s="31"/>
    </row>
    <row r="43" spans="1:25" s="32" customFormat="1" ht="61.5" hidden="1" customHeight="1">
      <c r="A43" s="41">
        <v>7</v>
      </c>
      <c r="B43" s="42" t="s">
        <v>207</v>
      </c>
      <c r="C43" s="28"/>
      <c r="D43" s="43">
        <f t="shared" si="95"/>
        <v>115</v>
      </c>
      <c r="E43" s="44">
        <f t="shared" si="96"/>
        <v>0</v>
      </c>
      <c r="F43" s="45">
        <f t="shared" si="104"/>
        <v>0</v>
      </c>
      <c r="G43" s="46">
        <f t="shared" si="104"/>
        <v>0</v>
      </c>
      <c r="H43" s="46">
        <f t="shared" si="104"/>
        <v>0</v>
      </c>
      <c r="I43" s="46">
        <f t="shared" si="104"/>
        <v>0</v>
      </c>
      <c r="J43" s="44">
        <f t="shared" si="98"/>
        <v>0</v>
      </c>
      <c r="K43" s="46">
        <f t="shared" si="99"/>
        <v>0</v>
      </c>
      <c r="L43" s="46">
        <f t="shared" si="99"/>
        <v>0</v>
      </c>
      <c r="M43" s="46">
        <f t="shared" si="99"/>
        <v>0</v>
      </c>
      <c r="N43" s="46">
        <f t="shared" si="99"/>
        <v>0</v>
      </c>
      <c r="O43" s="44">
        <f t="shared" si="100"/>
        <v>0</v>
      </c>
      <c r="P43" s="46">
        <f t="shared" si="101"/>
        <v>0</v>
      </c>
      <c r="Q43" s="46">
        <f t="shared" si="101"/>
        <v>0</v>
      </c>
      <c r="R43" s="46">
        <f t="shared" si="101"/>
        <v>0</v>
      </c>
      <c r="S43" s="46">
        <f t="shared" si="101"/>
        <v>115</v>
      </c>
      <c r="T43" s="46">
        <f t="shared" si="101"/>
        <v>0</v>
      </c>
      <c r="U43" s="46">
        <f t="shared" si="101"/>
        <v>0</v>
      </c>
      <c r="V43" s="44">
        <f t="shared" si="102"/>
        <v>0</v>
      </c>
      <c r="W43" s="46">
        <f t="shared" si="103"/>
        <v>0</v>
      </c>
      <c r="X43" s="46">
        <f t="shared" si="103"/>
        <v>0</v>
      </c>
      <c r="Y43" s="31"/>
    </row>
    <row r="44" spans="1:25" s="32" customFormat="1" ht="47.25" hidden="1" customHeight="1">
      <c r="A44" s="41">
        <v>8</v>
      </c>
      <c r="B44" s="42" t="s">
        <v>208</v>
      </c>
      <c r="C44" s="28"/>
      <c r="D44" s="43">
        <f t="shared" si="95"/>
        <v>345</v>
      </c>
      <c r="E44" s="44">
        <f t="shared" si="96"/>
        <v>0</v>
      </c>
      <c r="F44" s="45">
        <f t="shared" si="104"/>
        <v>0</v>
      </c>
      <c r="G44" s="46">
        <f t="shared" si="104"/>
        <v>0</v>
      </c>
      <c r="H44" s="46">
        <f t="shared" si="104"/>
        <v>0</v>
      </c>
      <c r="I44" s="46">
        <f t="shared" si="104"/>
        <v>0</v>
      </c>
      <c r="J44" s="44">
        <f t="shared" si="98"/>
        <v>0</v>
      </c>
      <c r="K44" s="46">
        <f t="shared" si="99"/>
        <v>0</v>
      </c>
      <c r="L44" s="46">
        <f t="shared" si="99"/>
        <v>0</v>
      </c>
      <c r="M44" s="46">
        <f t="shared" si="99"/>
        <v>0</v>
      </c>
      <c r="N44" s="46">
        <f t="shared" si="99"/>
        <v>0</v>
      </c>
      <c r="O44" s="44">
        <f t="shared" si="100"/>
        <v>0</v>
      </c>
      <c r="P44" s="46">
        <f t="shared" si="101"/>
        <v>0</v>
      </c>
      <c r="Q44" s="46">
        <f t="shared" si="101"/>
        <v>0</v>
      </c>
      <c r="R44" s="46">
        <f t="shared" si="101"/>
        <v>0</v>
      </c>
      <c r="S44" s="46">
        <f t="shared" si="101"/>
        <v>345</v>
      </c>
      <c r="T44" s="46">
        <f t="shared" si="101"/>
        <v>0</v>
      </c>
      <c r="U44" s="46">
        <f t="shared" si="101"/>
        <v>0</v>
      </c>
      <c r="V44" s="44">
        <f t="shared" si="102"/>
        <v>0</v>
      </c>
      <c r="W44" s="46">
        <f t="shared" si="103"/>
        <v>0</v>
      </c>
      <c r="X44" s="46">
        <f t="shared" si="103"/>
        <v>0</v>
      </c>
      <c r="Y44" s="31"/>
    </row>
    <row r="45" spans="1:25" s="55" customFormat="1" ht="39" hidden="1" customHeight="1">
      <c r="A45" s="50" t="s">
        <v>90</v>
      </c>
      <c r="B45" s="51" t="s">
        <v>209</v>
      </c>
      <c r="C45" s="52" t="s">
        <v>210</v>
      </c>
      <c r="D45" s="53">
        <f>D46</f>
        <v>1435</v>
      </c>
      <c r="E45" s="53">
        <f t="shared" ref="E45:X46" si="105">E46</f>
        <v>0</v>
      </c>
      <c r="F45" s="54">
        <f t="shared" si="105"/>
        <v>0</v>
      </c>
      <c r="G45" s="53">
        <f t="shared" si="105"/>
        <v>0</v>
      </c>
      <c r="H45" s="53">
        <f t="shared" si="105"/>
        <v>0</v>
      </c>
      <c r="I45" s="53">
        <f t="shared" si="105"/>
        <v>0</v>
      </c>
      <c r="J45" s="53">
        <f t="shared" si="105"/>
        <v>0</v>
      </c>
      <c r="K45" s="53">
        <f t="shared" si="105"/>
        <v>0</v>
      </c>
      <c r="L45" s="53">
        <f t="shared" si="105"/>
        <v>0</v>
      </c>
      <c r="M45" s="53">
        <f t="shared" si="105"/>
        <v>0</v>
      </c>
      <c r="N45" s="53">
        <f t="shared" si="105"/>
        <v>0</v>
      </c>
      <c r="O45" s="53">
        <f t="shared" si="105"/>
        <v>0</v>
      </c>
      <c r="P45" s="53">
        <f t="shared" si="105"/>
        <v>0</v>
      </c>
      <c r="Q45" s="53">
        <f t="shared" si="105"/>
        <v>0</v>
      </c>
      <c r="R45" s="53">
        <f t="shared" si="105"/>
        <v>0</v>
      </c>
      <c r="S45" s="53">
        <f t="shared" si="105"/>
        <v>0</v>
      </c>
      <c r="T45" s="53">
        <f t="shared" si="105"/>
        <v>0</v>
      </c>
      <c r="U45" s="53">
        <f t="shared" si="105"/>
        <v>1435</v>
      </c>
      <c r="V45" s="53">
        <f t="shared" si="105"/>
        <v>0</v>
      </c>
      <c r="W45" s="53">
        <f t="shared" si="105"/>
        <v>0</v>
      </c>
      <c r="X45" s="53">
        <f t="shared" si="105"/>
        <v>0</v>
      </c>
      <c r="Y45" s="50"/>
    </row>
    <row r="46" spans="1:25" s="62" customFormat="1" ht="44.25" hidden="1" customHeight="1">
      <c r="A46" s="56"/>
      <c r="B46" s="57" t="s">
        <v>211</v>
      </c>
      <c r="C46" s="58"/>
      <c r="D46" s="59">
        <f>D47</f>
        <v>1435</v>
      </c>
      <c r="E46" s="59">
        <f t="shared" si="105"/>
        <v>0</v>
      </c>
      <c r="F46" s="60">
        <f t="shared" si="105"/>
        <v>0</v>
      </c>
      <c r="G46" s="59">
        <f t="shared" si="105"/>
        <v>0</v>
      </c>
      <c r="H46" s="59">
        <f t="shared" si="105"/>
        <v>0</v>
      </c>
      <c r="I46" s="59">
        <f t="shared" si="105"/>
        <v>0</v>
      </c>
      <c r="J46" s="59">
        <f t="shared" si="105"/>
        <v>0</v>
      </c>
      <c r="K46" s="59">
        <f t="shared" si="105"/>
        <v>0</v>
      </c>
      <c r="L46" s="59">
        <f t="shared" si="105"/>
        <v>0</v>
      </c>
      <c r="M46" s="59">
        <f t="shared" si="105"/>
        <v>0</v>
      </c>
      <c r="N46" s="59">
        <f t="shared" si="105"/>
        <v>0</v>
      </c>
      <c r="O46" s="59">
        <f t="shared" si="105"/>
        <v>0</v>
      </c>
      <c r="P46" s="59">
        <f t="shared" si="105"/>
        <v>0</v>
      </c>
      <c r="Q46" s="59">
        <f t="shared" si="105"/>
        <v>0</v>
      </c>
      <c r="R46" s="59">
        <f t="shared" si="105"/>
        <v>0</v>
      </c>
      <c r="S46" s="59">
        <f t="shared" si="105"/>
        <v>0</v>
      </c>
      <c r="T46" s="59">
        <f t="shared" si="105"/>
        <v>0</v>
      </c>
      <c r="U46" s="59">
        <f t="shared" si="105"/>
        <v>1435</v>
      </c>
      <c r="V46" s="59">
        <f t="shared" si="105"/>
        <v>0</v>
      </c>
      <c r="W46" s="59">
        <f t="shared" si="105"/>
        <v>0</v>
      </c>
      <c r="X46" s="59">
        <f t="shared" si="105"/>
        <v>0</v>
      </c>
      <c r="Y46" s="61"/>
    </row>
    <row r="47" spans="1:25" s="32" customFormat="1" ht="55.5" hidden="1" customHeight="1">
      <c r="A47" s="41"/>
      <c r="B47" s="42" t="s">
        <v>212</v>
      </c>
      <c r="C47" s="28"/>
      <c r="D47" s="43">
        <f t="shared" ref="D47" si="106">E47+J47+N47+O47+SUM(R47:V47)</f>
        <v>1435</v>
      </c>
      <c r="E47" s="44">
        <f t="shared" ref="E47" si="107">SUM(F47:I47)</f>
        <v>0</v>
      </c>
      <c r="F47" s="45">
        <f>F148+F301</f>
        <v>0</v>
      </c>
      <c r="G47" s="46">
        <f t="shared" ref="G47:X47" si="108">G148+G301</f>
        <v>0</v>
      </c>
      <c r="H47" s="46">
        <f t="shared" si="108"/>
        <v>0</v>
      </c>
      <c r="I47" s="46">
        <f t="shared" si="108"/>
        <v>0</v>
      </c>
      <c r="J47" s="44">
        <f t="shared" ref="J47" si="109">SUM(K47:M47)</f>
        <v>0</v>
      </c>
      <c r="K47" s="46">
        <f t="shared" si="108"/>
        <v>0</v>
      </c>
      <c r="L47" s="46">
        <f t="shared" si="108"/>
        <v>0</v>
      </c>
      <c r="M47" s="46">
        <f t="shared" si="108"/>
        <v>0</v>
      </c>
      <c r="N47" s="46">
        <f t="shared" si="108"/>
        <v>0</v>
      </c>
      <c r="O47" s="44">
        <f t="shared" ref="O47" si="110">SUM(P47:Q47)</f>
        <v>0</v>
      </c>
      <c r="P47" s="46">
        <f t="shared" si="108"/>
        <v>0</v>
      </c>
      <c r="Q47" s="46">
        <f t="shared" si="108"/>
        <v>0</v>
      </c>
      <c r="R47" s="46">
        <f t="shared" si="108"/>
        <v>0</v>
      </c>
      <c r="S47" s="46">
        <f t="shared" si="108"/>
        <v>0</v>
      </c>
      <c r="T47" s="46">
        <f t="shared" si="108"/>
        <v>0</v>
      </c>
      <c r="U47" s="46">
        <f t="shared" si="108"/>
        <v>1435</v>
      </c>
      <c r="V47" s="44">
        <f t="shared" ref="V47" si="111">SUM(W47:X47)</f>
        <v>0</v>
      </c>
      <c r="W47" s="46">
        <f t="shared" si="108"/>
        <v>0</v>
      </c>
      <c r="X47" s="46">
        <f t="shared" si="108"/>
        <v>0</v>
      </c>
      <c r="Y47" s="31"/>
    </row>
    <row r="48" spans="1:25" s="55" customFormat="1" ht="56.25" hidden="1" customHeight="1">
      <c r="A48" s="50" t="s">
        <v>101</v>
      </c>
      <c r="B48" s="51" t="s">
        <v>213</v>
      </c>
      <c r="C48" s="52" t="s">
        <v>214</v>
      </c>
      <c r="D48" s="53">
        <f>D49</f>
        <v>129</v>
      </c>
      <c r="E48" s="53">
        <f t="shared" ref="E48:X49" si="112">E49</f>
        <v>0</v>
      </c>
      <c r="F48" s="54">
        <f t="shared" si="112"/>
        <v>0</v>
      </c>
      <c r="G48" s="53">
        <f t="shared" si="112"/>
        <v>0</v>
      </c>
      <c r="H48" s="53">
        <f t="shared" si="112"/>
        <v>0</v>
      </c>
      <c r="I48" s="53">
        <f t="shared" si="112"/>
        <v>0</v>
      </c>
      <c r="J48" s="53">
        <f t="shared" si="112"/>
        <v>12</v>
      </c>
      <c r="K48" s="53">
        <f t="shared" si="112"/>
        <v>0</v>
      </c>
      <c r="L48" s="53">
        <f t="shared" si="112"/>
        <v>0</v>
      </c>
      <c r="M48" s="53">
        <f t="shared" si="112"/>
        <v>12</v>
      </c>
      <c r="N48" s="53">
        <f t="shared" si="112"/>
        <v>0</v>
      </c>
      <c r="O48" s="53">
        <f t="shared" si="112"/>
        <v>0</v>
      </c>
      <c r="P48" s="53">
        <f t="shared" si="112"/>
        <v>0</v>
      </c>
      <c r="Q48" s="53">
        <f t="shared" si="112"/>
        <v>0</v>
      </c>
      <c r="R48" s="53">
        <f t="shared" si="112"/>
        <v>0</v>
      </c>
      <c r="S48" s="53">
        <f t="shared" si="112"/>
        <v>117</v>
      </c>
      <c r="T48" s="53">
        <f t="shared" si="112"/>
        <v>0</v>
      </c>
      <c r="U48" s="53">
        <f t="shared" si="112"/>
        <v>0</v>
      </c>
      <c r="V48" s="53">
        <f t="shared" si="112"/>
        <v>0</v>
      </c>
      <c r="W48" s="53">
        <f t="shared" si="112"/>
        <v>0</v>
      </c>
      <c r="X48" s="53">
        <f t="shared" si="112"/>
        <v>0</v>
      </c>
      <c r="Y48" s="50"/>
    </row>
    <row r="49" spans="1:27" s="62" customFormat="1" ht="43.5" hidden="1" customHeight="1">
      <c r="A49" s="56"/>
      <c r="B49" s="57" t="s">
        <v>215</v>
      </c>
      <c r="C49" s="58"/>
      <c r="D49" s="59">
        <f>D50</f>
        <v>129</v>
      </c>
      <c r="E49" s="59">
        <f t="shared" si="112"/>
        <v>0</v>
      </c>
      <c r="F49" s="60">
        <f t="shared" si="112"/>
        <v>0</v>
      </c>
      <c r="G49" s="59">
        <f t="shared" si="112"/>
        <v>0</v>
      </c>
      <c r="H49" s="59">
        <f t="shared" si="112"/>
        <v>0</v>
      </c>
      <c r="I49" s="59">
        <f t="shared" si="112"/>
        <v>0</v>
      </c>
      <c r="J49" s="59">
        <f t="shared" si="112"/>
        <v>12</v>
      </c>
      <c r="K49" s="59">
        <f t="shared" si="112"/>
        <v>0</v>
      </c>
      <c r="L49" s="59">
        <f t="shared" si="112"/>
        <v>0</v>
      </c>
      <c r="M49" s="59">
        <f t="shared" si="112"/>
        <v>12</v>
      </c>
      <c r="N49" s="59">
        <f t="shared" si="112"/>
        <v>0</v>
      </c>
      <c r="O49" s="59">
        <f t="shared" si="112"/>
        <v>0</v>
      </c>
      <c r="P49" s="59">
        <f t="shared" si="112"/>
        <v>0</v>
      </c>
      <c r="Q49" s="59">
        <f t="shared" si="112"/>
        <v>0</v>
      </c>
      <c r="R49" s="59">
        <f t="shared" si="112"/>
        <v>0</v>
      </c>
      <c r="S49" s="59">
        <f t="shared" si="112"/>
        <v>117</v>
      </c>
      <c r="T49" s="59">
        <f t="shared" si="112"/>
        <v>0</v>
      </c>
      <c r="U49" s="59">
        <f t="shared" si="112"/>
        <v>0</v>
      </c>
      <c r="V49" s="59">
        <f t="shared" si="112"/>
        <v>0</v>
      </c>
      <c r="W49" s="59">
        <f t="shared" si="112"/>
        <v>0</v>
      </c>
      <c r="X49" s="59">
        <f t="shared" si="112"/>
        <v>0</v>
      </c>
      <c r="Y49" s="61"/>
    </row>
    <row r="50" spans="1:27" s="32" customFormat="1" ht="59.25" hidden="1" customHeight="1">
      <c r="A50" s="41"/>
      <c r="B50" s="42" t="s">
        <v>216</v>
      </c>
      <c r="C50" s="28"/>
      <c r="D50" s="43">
        <f t="shared" ref="D50:D52" si="113">E50+J50+N50+O50+SUM(R50:V50)</f>
        <v>129</v>
      </c>
      <c r="E50" s="44">
        <f t="shared" ref="E50:E52" si="114">SUM(F50:I50)</f>
        <v>0</v>
      </c>
      <c r="F50" s="45">
        <f>F151+F304</f>
        <v>0</v>
      </c>
      <c r="G50" s="46">
        <f t="shared" ref="G50:X50" si="115">G151+G304</f>
        <v>0</v>
      </c>
      <c r="H50" s="46">
        <f t="shared" si="115"/>
        <v>0</v>
      </c>
      <c r="I50" s="46">
        <f t="shared" si="115"/>
        <v>0</v>
      </c>
      <c r="J50" s="44">
        <f t="shared" ref="J50:J52" si="116">SUM(K50:M50)</f>
        <v>12</v>
      </c>
      <c r="K50" s="46">
        <f t="shared" si="115"/>
        <v>0</v>
      </c>
      <c r="L50" s="46">
        <f t="shared" si="115"/>
        <v>0</v>
      </c>
      <c r="M50" s="46">
        <f t="shared" si="115"/>
        <v>12</v>
      </c>
      <c r="N50" s="46">
        <f t="shared" si="115"/>
        <v>0</v>
      </c>
      <c r="O50" s="44">
        <f t="shared" ref="O50:O52" si="117">SUM(P50:Q50)</f>
        <v>0</v>
      </c>
      <c r="P50" s="46">
        <f t="shared" si="115"/>
        <v>0</v>
      </c>
      <c r="Q50" s="46">
        <f t="shared" si="115"/>
        <v>0</v>
      </c>
      <c r="R50" s="46">
        <f t="shared" si="115"/>
        <v>0</v>
      </c>
      <c r="S50" s="46">
        <f t="shared" si="115"/>
        <v>117</v>
      </c>
      <c r="T50" s="46">
        <f t="shared" si="115"/>
        <v>0</v>
      </c>
      <c r="U50" s="46">
        <f t="shared" si="115"/>
        <v>0</v>
      </c>
      <c r="V50" s="44">
        <f t="shared" ref="V50:V52" si="118">SUM(W50:X50)</f>
        <v>0</v>
      </c>
      <c r="W50" s="46">
        <f t="shared" si="115"/>
        <v>0</v>
      </c>
      <c r="X50" s="46">
        <f t="shared" si="115"/>
        <v>0</v>
      </c>
      <c r="Y50" s="31"/>
    </row>
    <row r="51" spans="1:27" s="32" customFormat="1" ht="15.75" hidden="1">
      <c r="A51" s="41"/>
      <c r="B51" s="42"/>
      <c r="C51" s="28"/>
      <c r="D51" s="43">
        <f t="shared" si="113"/>
        <v>0</v>
      </c>
      <c r="E51" s="44">
        <f t="shared" si="114"/>
        <v>0</v>
      </c>
      <c r="F51" s="47"/>
      <c r="G51" s="48"/>
      <c r="H51" s="48"/>
      <c r="I51" s="48"/>
      <c r="J51" s="44">
        <f t="shared" si="116"/>
        <v>0</v>
      </c>
      <c r="K51" s="48"/>
      <c r="L51" s="48"/>
      <c r="M51" s="48"/>
      <c r="N51" s="48"/>
      <c r="O51" s="44">
        <f t="shared" si="117"/>
        <v>0</v>
      </c>
      <c r="P51" s="48"/>
      <c r="Q51" s="48"/>
      <c r="R51" s="48"/>
      <c r="S51" s="48"/>
      <c r="T51" s="48"/>
      <c r="U51" s="48"/>
      <c r="V51" s="44">
        <f t="shared" si="118"/>
        <v>0</v>
      </c>
      <c r="W51" s="44"/>
      <c r="X51" s="44"/>
      <c r="Y51" s="31"/>
    </row>
    <row r="52" spans="1:27" s="32" customFormat="1" ht="15.75" hidden="1">
      <c r="A52" s="41"/>
      <c r="B52" s="42"/>
      <c r="C52" s="28"/>
      <c r="D52" s="43">
        <f t="shared" si="113"/>
        <v>0</v>
      </c>
      <c r="E52" s="44">
        <f t="shared" si="114"/>
        <v>0</v>
      </c>
      <c r="F52" s="47"/>
      <c r="G52" s="48"/>
      <c r="H52" s="48"/>
      <c r="I52" s="48"/>
      <c r="J52" s="44">
        <f t="shared" si="116"/>
        <v>0</v>
      </c>
      <c r="K52" s="48"/>
      <c r="L52" s="48"/>
      <c r="M52" s="48"/>
      <c r="N52" s="48"/>
      <c r="O52" s="44">
        <f t="shared" si="117"/>
        <v>0</v>
      </c>
      <c r="P52" s="48"/>
      <c r="Q52" s="48"/>
      <c r="R52" s="48"/>
      <c r="S52" s="48"/>
      <c r="T52" s="48"/>
      <c r="U52" s="48"/>
      <c r="V52" s="44">
        <f t="shared" si="118"/>
        <v>0</v>
      </c>
      <c r="W52" s="44"/>
      <c r="X52" s="44"/>
      <c r="Y52" s="31"/>
    </row>
    <row r="53" spans="1:27" s="32" customFormat="1" ht="22.5" hidden="1" customHeight="1">
      <c r="A53" s="26" t="s">
        <v>217</v>
      </c>
      <c r="B53" s="27" t="s">
        <v>218</v>
      </c>
      <c r="C53" s="28"/>
      <c r="D53" s="29">
        <f>D54+D207</f>
        <v>29980</v>
      </c>
      <c r="E53" s="29">
        <f t="shared" ref="E53:X53" si="119">E54+E207</f>
        <v>2419</v>
      </c>
      <c r="F53" s="30">
        <f t="shared" si="119"/>
        <v>1942</v>
      </c>
      <c r="G53" s="29">
        <f t="shared" si="119"/>
        <v>20</v>
      </c>
      <c r="H53" s="29">
        <f t="shared" si="119"/>
        <v>285</v>
      </c>
      <c r="I53" s="29">
        <f t="shared" si="119"/>
        <v>172</v>
      </c>
      <c r="J53" s="29">
        <f t="shared" si="119"/>
        <v>3640</v>
      </c>
      <c r="K53" s="29">
        <f t="shared" si="119"/>
        <v>628</v>
      </c>
      <c r="L53" s="29">
        <f t="shared" si="119"/>
        <v>3000</v>
      </c>
      <c r="M53" s="29">
        <f t="shared" si="119"/>
        <v>12</v>
      </c>
      <c r="N53" s="29">
        <f t="shared" si="119"/>
        <v>70</v>
      </c>
      <c r="O53" s="29">
        <f t="shared" si="119"/>
        <v>10590</v>
      </c>
      <c r="P53" s="29">
        <f t="shared" si="119"/>
        <v>8781</v>
      </c>
      <c r="Q53" s="29">
        <f t="shared" si="119"/>
        <v>1809</v>
      </c>
      <c r="R53" s="29">
        <f t="shared" si="119"/>
        <v>247</v>
      </c>
      <c r="S53" s="29">
        <f t="shared" si="119"/>
        <v>8938</v>
      </c>
      <c r="T53" s="29">
        <f t="shared" si="119"/>
        <v>233</v>
      </c>
      <c r="U53" s="29">
        <f t="shared" si="119"/>
        <v>3429</v>
      </c>
      <c r="V53" s="29">
        <f t="shared" si="119"/>
        <v>414</v>
      </c>
      <c r="W53" s="29">
        <f t="shared" si="119"/>
        <v>386</v>
      </c>
      <c r="X53" s="29">
        <f t="shared" si="119"/>
        <v>28</v>
      </c>
      <c r="Y53" s="31"/>
    </row>
    <row r="54" spans="1:27" s="70" customFormat="1" ht="24" customHeight="1">
      <c r="A54" s="63" t="s">
        <v>89</v>
      </c>
      <c r="B54" s="64" t="s">
        <v>219</v>
      </c>
      <c r="C54" s="65"/>
      <c r="D54" s="66">
        <f t="shared" ref="D54:X54" si="120">D55+D73+D77+D82+D90+D97+D112+D130+D134+D144+D152+D156+D164+D169+D174+D179+D184+D189+D194+D198+D202</f>
        <v>2543</v>
      </c>
      <c r="E54" s="66">
        <f t="shared" si="120"/>
        <v>168</v>
      </c>
      <c r="F54" s="67">
        <f t="shared" si="120"/>
        <v>168</v>
      </c>
      <c r="G54" s="66">
        <f t="shared" si="120"/>
        <v>0</v>
      </c>
      <c r="H54" s="66">
        <f t="shared" si="120"/>
        <v>0</v>
      </c>
      <c r="I54" s="66">
        <f t="shared" si="120"/>
        <v>0</v>
      </c>
      <c r="J54" s="66">
        <f t="shared" si="120"/>
        <v>2</v>
      </c>
      <c r="K54" s="66">
        <f t="shared" si="120"/>
        <v>0</v>
      </c>
      <c r="L54" s="66">
        <f t="shared" si="120"/>
        <v>0</v>
      </c>
      <c r="M54" s="66">
        <f t="shared" si="120"/>
        <v>2</v>
      </c>
      <c r="N54" s="66">
        <f t="shared" si="120"/>
        <v>0</v>
      </c>
      <c r="O54" s="66">
        <f t="shared" si="120"/>
        <v>840</v>
      </c>
      <c r="P54" s="66">
        <f t="shared" si="120"/>
        <v>604</v>
      </c>
      <c r="Q54" s="66">
        <f t="shared" si="120"/>
        <v>236</v>
      </c>
      <c r="R54" s="66">
        <f t="shared" si="120"/>
        <v>32</v>
      </c>
      <c r="S54" s="66">
        <f t="shared" si="120"/>
        <v>1054</v>
      </c>
      <c r="T54" s="66">
        <f t="shared" si="120"/>
        <v>0</v>
      </c>
      <c r="U54" s="66">
        <f t="shared" si="120"/>
        <v>447</v>
      </c>
      <c r="V54" s="66">
        <f t="shared" si="120"/>
        <v>0</v>
      </c>
      <c r="W54" s="66">
        <f t="shared" si="120"/>
        <v>0</v>
      </c>
      <c r="X54" s="66">
        <f t="shared" si="120"/>
        <v>0</v>
      </c>
      <c r="Y54" s="68"/>
      <c r="Z54" s="69"/>
      <c r="AA54" s="69"/>
    </row>
    <row r="55" spans="1:27" s="32" customFormat="1" ht="27" customHeight="1">
      <c r="A55" s="31" t="s">
        <v>3</v>
      </c>
      <c r="B55" s="743" t="s">
        <v>220</v>
      </c>
      <c r="C55" s="744"/>
      <c r="D55" s="29">
        <f t="shared" ref="D55:X55" si="121">D56+D59</f>
        <v>11</v>
      </c>
      <c r="E55" s="29">
        <f t="shared" si="121"/>
        <v>11</v>
      </c>
      <c r="F55" s="30">
        <f t="shared" si="121"/>
        <v>11</v>
      </c>
      <c r="G55" s="29">
        <f t="shared" si="121"/>
        <v>0</v>
      </c>
      <c r="H55" s="29">
        <f t="shared" si="121"/>
        <v>0</v>
      </c>
      <c r="I55" s="29">
        <f t="shared" si="121"/>
        <v>0</v>
      </c>
      <c r="J55" s="29">
        <f t="shared" si="121"/>
        <v>0</v>
      </c>
      <c r="K55" s="29">
        <f t="shared" si="121"/>
        <v>0</v>
      </c>
      <c r="L55" s="29">
        <f t="shared" si="121"/>
        <v>0</v>
      </c>
      <c r="M55" s="29">
        <f t="shared" si="121"/>
        <v>0</v>
      </c>
      <c r="N55" s="29">
        <f t="shared" si="121"/>
        <v>0</v>
      </c>
      <c r="O55" s="29">
        <f t="shared" si="121"/>
        <v>0</v>
      </c>
      <c r="P55" s="29">
        <f t="shared" si="121"/>
        <v>0</v>
      </c>
      <c r="Q55" s="29">
        <f t="shared" si="121"/>
        <v>0</v>
      </c>
      <c r="R55" s="29">
        <f t="shared" si="121"/>
        <v>0</v>
      </c>
      <c r="S55" s="29">
        <f t="shared" si="121"/>
        <v>0</v>
      </c>
      <c r="T55" s="29">
        <f t="shared" si="121"/>
        <v>0</v>
      </c>
      <c r="U55" s="29">
        <f t="shared" si="121"/>
        <v>0</v>
      </c>
      <c r="V55" s="29">
        <f t="shared" si="121"/>
        <v>0</v>
      </c>
      <c r="W55" s="29">
        <f t="shared" si="121"/>
        <v>0</v>
      </c>
      <c r="X55" s="29">
        <f t="shared" si="121"/>
        <v>0</v>
      </c>
      <c r="Y55" s="31"/>
    </row>
    <row r="56" spans="1:27" s="75" customFormat="1" ht="25.5" customHeight="1">
      <c r="A56" s="71">
        <v>1</v>
      </c>
      <c r="B56" s="71" t="s">
        <v>221</v>
      </c>
      <c r="C56" s="72" t="s">
        <v>159</v>
      </c>
      <c r="D56" s="73">
        <f>D57</f>
        <v>11</v>
      </c>
      <c r="E56" s="73">
        <f t="shared" ref="E56:T57" si="122">E57</f>
        <v>11</v>
      </c>
      <c r="F56" s="74">
        <f t="shared" si="122"/>
        <v>11</v>
      </c>
      <c r="G56" s="73">
        <f t="shared" si="122"/>
        <v>0</v>
      </c>
      <c r="H56" s="73">
        <f t="shared" si="122"/>
        <v>0</v>
      </c>
      <c r="I56" s="73">
        <f t="shared" si="122"/>
        <v>0</v>
      </c>
      <c r="J56" s="73">
        <f t="shared" si="122"/>
        <v>0</v>
      </c>
      <c r="K56" s="73">
        <f t="shared" si="122"/>
        <v>0</v>
      </c>
      <c r="L56" s="73">
        <f t="shared" si="122"/>
        <v>0</v>
      </c>
      <c r="M56" s="73">
        <f t="shared" si="122"/>
        <v>0</v>
      </c>
      <c r="N56" s="73">
        <f t="shared" si="122"/>
        <v>0</v>
      </c>
      <c r="O56" s="73">
        <f t="shared" si="122"/>
        <v>0</v>
      </c>
      <c r="P56" s="73">
        <f t="shared" si="122"/>
        <v>0</v>
      </c>
      <c r="Q56" s="73">
        <f t="shared" si="122"/>
        <v>0</v>
      </c>
      <c r="R56" s="73">
        <f t="shared" si="122"/>
        <v>0</v>
      </c>
      <c r="S56" s="73">
        <f t="shared" si="122"/>
        <v>0</v>
      </c>
      <c r="T56" s="73">
        <f t="shared" si="122"/>
        <v>0</v>
      </c>
      <c r="U56" s="73">
        <f t="shared" ref="U56:X57" si="123">U57</f>
        <v>0</v>
      </c>
      <c r="V56" s="73">
        <f t="shared" si="123"/>
        <v>0</v>
      </c>
      <c r="W56" s="73">
        <f t="shared" si="123"/>
        <v>0</v>
      </c>
      <c r="X56" s="73">
        <f t="shared" si="123"/>
        <v>0</v>
      </c>
      <c r="Y56" s="71"/>
    </row>
    <row r="57" spans="1:27" s="79" customFormat="1" ht="37.5" customHeight="1">
      <c r="A57" s="76"/>
      <c r="B57" s="77" t="s">
        <v>171</v>
      </c>
      <c r="C57" s="78" t="s">
        <v>172</v>
      </c>
      <c r="D57" s="59">
        <f>D58</f>
        <v>11</v>
      </c>
      <c r="E57" s="59">
        <f t="shared" si="122"/>
        <v>11</v>
      </c>
      <c r="F57" s="60">
        <f t="shared" si="122"/>
        <v>11</v>
      </c>
      <c r="G57" s="59">
        <f t="shared" si="122"/>
        <v>0</v>
      </c>
      <c r="H57" s="59">
        <f t="shared" si="122"/>
        <v>0</v>
      </c>
      <c r="I57" s="59">
        <f t="shared" si="122"/>
        <v>0</v>
      </c>
      <c r="J57" s="59">
        <f t="shared" si="122"/>
        <v>0</v>
      </c>
      <c r="K57" s="59">
        <f t="shared" si="122"/>
        <v>0</v>
      </c>
      <c r="L57" s="59">
        <f t="shared" si="122"/>
        <v>0</v>
      </c>
      <c r="M57" s="59">
        <f t="shared" si="122"/>
        <v>0</v>
      </c>
      <c r="N57" s="59">
        <f t="shared" si="122"/>
        <v>0</v>
      </c>
      <c r="O57" s="59">
        <f t="shared" si="122"/>
        <v>0</v>
      </c>
      <c r="P57" s="59">
        <f t="shared" si="122"/>
        <v>0</v>
      </c>
      <c r="Q57" s="59">
        <f t="shared" si="122"/>
        <v>0</v>
      </c>
      <c r="R57" s="59">
        <f t="shared" si="122"/>
        <v>0</v>
      </c>
      <c r="S57" s="59">
        <f t="shared" si="122"/>
        <v>0</v>
      </c>
      <c r="T57" s="59">
        <f t="shared" si="122"/>
        <v>0</v>
      </c>
      <c r="U57" s="59">
        <f t="shared" si="123"/>
        <v>0</v>
      </c>
      <c r="V57" s="59">
        <f t="shared" si="123"/>
        <v>0</v>
      </c>
      <c r="W57" s="59">
        <f t="shared" si="123"/>
        <v>0</v>
      </c>
      <c r="X57" s="59">
        <f t="shared" si="123"/>
        <v>0</v>
      </c>
      <c r="Y57" s="76"/>
    </row>
    <row r="58" spans="1:27" s="3" customFormat="1" ht="27.75" customHeight="1">
      <c r="A58" s="80"/>
      <c r="B58" s="42" t="s">
        <v>222</v>
      </c>
      <c r="C58" s="81"/>
      <c r="D58" s="43">
        <f>E58+J58+N58+O58+SUM(R58:V58)</f>
        <v>11</v>
      </c>
      <c r="E58" s="44">
        <f>SUM(F58:I58)</f>
        <v>11</v>
      </c>
      <c r="F58" s="45">
        <f>ROUND((F211*15%),-0.1)</f>
        <v>11</v>
      </c>
      <c r="G58" s="46">
        <f t="shared" ref="G58:X58" si="124">ROUND((G211*15%),-0.1)</f>
        <v>0</v>
      </c>
      <c r="H58" s="46">
        <f t="shared" si="124"/>
        <v>0</v>
      </c>
      <c r="I58" s="46">
        <f t="shared" si="124"/>
        <v>0</v>
      </c>
      <c r="J58" s="44">
        <f>SUM(K58:M58)</f>
        <v>0</v>
      </c>
      <c r="K58" s="46">
        <f t="shared" si="124"/>
        <v>0</v>
      </c>
      <c r="L58" s="46">
        <f t="shared" si="124"/>
        <v>0</v>
      </c>
      <c r="M58" s="46">
        <f t="shared" si="124"/>
        <v>0</v>
      </c>
      <c r="N58" s="46">
        <f t="shared" si="124"/>
        <v>0</v>
      </c>
      <c r="O58" s="44">
        <f>SUM(P58:Q58)</f>
        <v>0</v>
      </c>
      <c r="P58" s="46">
        <f t="shared" si="124"/>
        <v>0</v>
      </c>
      <c r="Q58" s="46">
        <f t="shared" si="124"/>
        <v>0</v>
      </c>
      <c r="R58" s="46">
        <f t="shared" si="124"/>
        <v>0</v>
      </c>
      <c r="S58" s="46">
        <f t="shared" si="124"/>
        <v>0</v>
      </c>
      <c r="T58" s="46">
        <f t="shared" si="124"/>
        <v>0</v>
      </c>
      <c r="U58" s="46">
        <f t="shared" si="124"/>
        <v>0</v>
      </c>
      <c r="V58" s="44">
        <f>SUM(W58:X58)</f>
        <v>0</v>
      </c>
      <c r="W58" s="46">
        <f t="shared" si="124"/>
        <v>0</v>
      </c>
      <c r="X58" s="46">
        <f t="shared" si="124"/>
        <v>0</v>
      </c>
      <c r="Y58" s="80"/>
    </row>
    <row r="59" spans="1:27" s="75" customFormat="1" ht="31.5" hidden="1" customHeight="1">
      <c r="A59" s="71">
        <v>2</v>
      </c>
      <c r="B59" s="71" t="s">
        <v>223</v>
      </c>
      <c r="C59" s="72" t="s">
        <v>176</v>
      </c>
      <c r="D59" s="73">
        <f>D60+D62+D65+D68</f>
        <v>0</v>
      </c>
      <c r="E59" s="73">
        <f t="shared" ref="E59:X59" si="125">E60+E62+E65+E68</f>
        <v>0</v>
      </c>
      <c r="F59" s="74">
        <f t="shared" si="125"/>
        <v>0</v>
      </c>
      <c r="G59" s="73">
        <f t="shared" si="125"/>
        <v>0</v>
      </c>
      <c r="H59" s="73">
        <f t="shared" si="125"/>
        <v>0</v>
      </c>
      <c r="I59" s="73">
        <f t="shared" si="125"/>
        <v>0</v>
      </c>
      <c r="J59" s="73">
        <f t="shared" si="125"/>
        <v>0</v>
      </c>
      <c r="K59" s="73">
        <f t="shared" si="125"/>
        <v>0</v>
      </c>
      <c r="L59" s="73">
        <f t="shared" si="125"/>
        <v>0</v>
      </c>
      <c r="M59" s="73">
        <f t="shared" si="125"/>
        <v>0</v>
      </c>
      <c r="N59" s="73">
        <f t="shared" si="125"/>
        <v>0</v>
      </c>
      <c r="O59" s="73">
        <f t="shared" si="125"/>
        <v>0</v>
      </c>
      <c r="P59" s="73">
        <f t="shared" si="125"/>
        <v>0</v>
      </c>
      <c r="Q59" s="73">
        <f t="shared" si="125"/>
        <v>0</v>
      </c>
      <c r="R59" s="73">
        <f t="shared" si="125"/>
        <v>0</v>
      </c>
      <c r="S59" s="73">
        <f t="shared" si="125"/>
        <v>0</v>
      </c>
      <c r="T59" s="73">
        <f t="shared" si="125"/>
        <v>0</v>
      </c>
      <c r="U59" s="73">
        <f t="shared" si="125"/>
        <v>0</v>
      </c>
      <c r="V59" s="73">
        <f t="shared" si="125"/>
        <v>0</v>
      </c>
      <c r="W59" s="73">
        <f t="shared" si="125"/>
        <v>0</v>
      </c>
      <c r="X59" s="73">
        <f t="shared" si="125"/>
        <v>0</v>
      </c>
      <c r="Y59" s="71"/>
    </row>
    <row r="60" spans="1:27" s="79" customFormat="1" ht="44.25" hidden="1" customHeight="1">
      <c r="A60" s="76" t="s">
        <v>12</v>
      </c>
      <c r="B60" s="77" t="s">
        <v>177</v>
      </c>
      <c r="C60" s="78" t="s">
        <v>178</v>
      </c>
      <c r="D60" s="59">
        <f>D61</f>
        <v>0</v>
      </c>
      <c r="E60" s="59">
        <f t="shared" ref="E60:X60" si="126">E61</f>
        <v>0</v>
      </c>
      <c r="F60" s="60">
        <f t="shared" si="126"/>
        <v>0</v>
      </c>
      <c r="G60" s="59">
        <f t="shared" si="126"/>
        <v>0</v>
      </c>
      <c r="H60" s="59">
        <f t="shared" si="126"/>
        <v>0</v>
      </c>
      <c r="I60" s="59">
        <f t="shared" si="126"/>
        <v>0</v>
      </c>
      <c r="J60" s="59">
        <f t="shared" si="126"/>
        <v>0</v>
      </c>
      <c r="K60" s="59">
        <f t="shared" si="126"/>
        <v>0</v>
      </c>
      <c r="L60" s="59">
        <f t="shared" si="126"/>
        <v>0</v>
      </c>
      <c r="M60" s="59">
        <f t="shared" si="126"/>
        <v>0</v>
      </c>
      <c r="N60" s="59">
        <f t="shared" si="126"/>
        <v>0</v>
      </c>
      <c r="O60" s="59">
        <f t="shared" si="126"/>
        <v>0</v>
      </c>
      <c r="P60" s="59">
        <f t="shared" si="126"/>
        <v>0</v>
      </c>
      <c r="Q60" s="59">
        <f t="shared" si="126"/>
        <v>0</v>
      </c>
      <c r="R60" s="59">
        <f t="shared" si="126"/>
        <v>0</v>
      </c>
      <c r="S60" s="59">
        <f t="shared" si="126"/>
        <v>0</v>
      </c>
      <c r="T60" s="59">
        <f t="shared" si="126"/>
        <v>0</v>
      </c>
      <c r="U60" s="59">
        <f t="shared" si="126"/>
        <v>0</v>
      </c>
      <c r="V60" s="59">
        <f t="shared" si="126"/>
        <v>0</v>
      </c>
      <c r="W60" s="59">
        <f t="shared" si="126"/>
        <v>0</v>
      </c>
      <c r="X60" s="59">
        <f t="shared" si="126"/>
        <v>0</v>
      </c>
      <c r="Y60" s="76"/>
    </row>
    <row r="61" spans="1:27" s="3" customFormat="1" ht="42.75" hidden="1" customHeight="1">
      <c r="A61" s="80"/>
      <c r="B61" s="42" t="s">
        <v>224</v>
      </c>
      <c r="C61" s="81"/>
      <c r="D61" s="43">
        <f>E61+J61+N61+O61+SUM(R61:V61)</f>
        <v>0</v>
      </c>
      <c r="E61" s="44">
        <f>SUM(F61:I61)</f>
        <v>0</v>
      </c>
      <c r="F61" s="47"/>
      <c r="G61" s="48"/>
      <c r="H61" s="48"/>
      <c r="I61" s="48"/>
      <c r="J61" s="44">
        <f t="shared" ref="J61" si="127">SUM(K61:M61)</f>
        <v>0</v>
      </c>
      <c r="K61" s="48"/>
      <c r="L61" s="48"/>
      <c r="M61" s="48"/>
      <c r="N61" s="48"/>
      <c r="O61" s="44">
        <f t="shared" ref="O61" si="128">SUM(P61:Q61)</f>
        <v>0</v>
      </c>
      <c r="P61" s="48"/>
      <c r="Q61" s="48"/>
      <c r="R61" s="48"/>
      <c r="S61" s="48"/>
      <c r="T61" s="48"/>
      <c r="U61" s="48"/>
      <c r="V61" s="44">
        <f t="shared" ref="V61" si="129">SUM(W61:X61)</f>
        <v>0</v>
      </c>
      <c r="W61" s="48"/>
      <c r="X61" s="48"/>
      <c r="Y61" s="80"/>
    </row>
    <row r="62" spans="1:27" s="79" customFormat="1" ht="105" hidden="1" customHeight="1">
      <c r="A62" s="76" t="s">
        <v>13</v>
      </c>
      <c r="B62" s="77" t="s">
        <v>179</v>
      </c>
      <c r="C62" s="78" t="s">
        <v>180</v>
      </c>
      <c r="D62" s="59">
        <f>SUM(D63:D64)</f>
        <v>0</v>
      </c>
      <c r="E62" s="59">
        <f t="shared" ref="E62:X62" si="130">SUM(E63:E64)</f>
        <v>0</v>
      </c>
      <c r="F62" s="60">
        <f t="shared" si="130"/>
        <v>0</v>
      </c>
      <c r="G62" s="59">
        <f t="shared" si="130"/>
        <v>0</v>
      </c>
      <c r="H62" s="59">
        <f t="shared" si="130"/>
        <v>0</v>
      </c>
      <c r="I62" s="59">
        <f t="shared" si="130"/>
        <v>0</v>
      </c>
      <c r="J62" s="59">
        <f t="shared" si="130"/>
        <v>0</v>
      </c>
      <c r="K62" s="59">
        <f t="shared" si="130"/>
        <v>0</v>
      </c>
      <c r="L62" s="59">
        <f t="shared" si="130"/>
        <v>0</v>
      </c>
      <c r="M62" s="59">
        <f t="shared" si="130"/>
        <v>0</v>
      </c>
      <c r="N62" s="59">
        <f t="shared" si="130"/>
        <v>0</v>
      </c>
      <c r="O62" s="59">
        <f t="shared" si="130"/>
        <v>0</v>
      </c>
      <c r="P62" s="59">
        <f t="shared" si="130"/>
        <v>0</v>
      </c>
      <c r="Q62" s="59">
        <f t="shared" si="130"/>
        <v>0</v>
      </c>
      <c r="R62" s="59">
        <f t="shared" si="130"/>
        <v>0</v>
      </c>
      <c r="S62" s="59">
        <f t="shared" si="130"/>
        <v>0</v>
      </c>
      <c r="T62" s="59">
        <f t="shared" si="130"/>
        <v>0</v>
      </c>
      <c r="U62" s="59">
        <f t="shared" si="130"/>
        <v>0</v>
      </c>
      <c r="V62" s="59">
        <f t="shared" si="130"/>
        <v>0</v>
      </c>
      <c r="W62" s="59">
        <f t="shared" si="130"/>
        <v>0</v>
      </c>
      <c r="X62" s="59">
        <f t="shared" si="130"/>
        <v>0</v>
      </c>
      <c r="Y62" s="76"/>
    </row>
    <row r="63" spans="1:27" s="3" customFormat="1" ht="41.25" hidden="1" customHeight="1">
      <c r="A63" s="82"/>
      <c r="B63" s="83" t="s">
        <v>225</v>
      </c>
      <c r="C63" s="84"/>
      <c r="D63" s="43">
        <f t="shared" ref="D63:D64" si="131">E63+J63+N63+O63+SUM(R63:V63)</f>
        <v>0</v>
      </c>
      <c r="E63" s="44">
        <f t="shared" ref="E63:E64" si="132">SUM(F63:I63)</f>
        <v>0</v>
      </c>
      <c r="F63" s="85"/>
      <c r="G63" s="86"/>
      <c r="H63" s="86"/>
      <c r="I63" s="86"/>
      <c r="J63" s="44">
        <f t="shared" ref="J63:J64" si="133">SUM(K63:M63)</f>
        <v>0</v>
      </c>
      <c r="K63" s="48"/>
      <c r="L63" s="48"/>
      <c r="M63" s="48"/>
      <c r="N63" s="48"/>
      <c r="O63" s="44">
        <f t="shared" ref="O63:O64" si="134">SUM(P63:Q63)</f>
        <v>0</v>
      </c>
      <c r="P63" s="48"/>
      <c r="Q63" s="48"/>
      <c r="R63" s="48"/>
      <c r="S63" s="48"/>
      <c r="T63" s="48"/>
      <c r="U63" s="48"/>
      <c r="V63" s="44">
        <f t="shared" ref="V63:V64" si="135">SUM(W63:X63)</f>
        <v>0</v>
      </c>
      <c r="W63" s="86"/>
      <c r="X63" s="86"/>
      <c r="Y63" s="82"/>
    </row>
    <row r="64" spans="1:27" s="3" customFormat="1" ht="27.75" hidden="1" customHeight="1">
      <c r="A64" s="82"/>
      <c r="B64" s="83" t="s">
        <v>226</v>
      </c>
      <c r="C64" s="84"/>
      <c r="D64" s="43">
        <f t="shared" si="131"/>
        <v>0</v>
      </c>
      <c r="E64" s="44">
        <f t="shared" si="132"/>
        <v>0</v>
      </c>
      <c r="F64" s="85"/>
      <c r="G64" s="86"/>
      <c r="H64" s="86"/>
      <c r="I64" s="86"/>
      <c r="J64" s="44">
        <f t="shared" si="133"/>
        <v>0</v>
      </c>
      <c r="K64" s="48"/>
      <c r="L64" s="48"/>
      <c r="M64" s="48"/>
      <c r="N64" s="48"/>
      <c r="O64" s="44">
        <f t="shared" si="134"/>
        <v>0</v>
      </c>
      <c r="P64" s="48"/>
      <c r="Q64" s="48"/>
      <c r="R64" s="48"/>
      <c r="S64" s="48"/>
      <c r="T64" s="48"/>
      <c r="U64" s="48"/>
      <c r="V64" s="44">
        <f t="shared" si="135"/>
        <v>0</v>
      </c>
      <c r="W64" s="86"/>
      <c r="X64" s="86"/>
      <c r="Y64" s="82"/>
    </row>
    <row r="65" spans="1:25" s="79" customFormat="1" ht="71.25" hidden="1" customHeight="1">
      <c r="A65" s="76" t="s">
        <v>16</v>
      </c>
      <c r="B65" s="77" t="s">
        <v>185</v>
      </c>
      <c r="C65" s="78" t="s">
        <v>186</v>
      </c>
      <c r="D65" s="59">
        <f>SUM(D66:D67)</f>
        <v>0</v>
      </c>
      <c r="E65" s="59">
        <f t="shared" ref="E65:X65" si="136">SUM(E66:E67)</f>
        <v>0</v>
      </c>
      <c r="F65" s="60">
        <f t="shared" si="136"/>
        <v>0</v>
      </c>
      <c r="G65" s="59">
        <f t="shared" si="136"/>
        <v>0</v>
      </c>
      <c r="H65" s="59">
        <f t="shared" si="136"/>
        <v>0</v>
      </c>
      <c r="I65" s="59">
        <f t="shared" si="136"/>
        <v>0</v>
      </c>
      <c r="J65" s="59">
        <f t="shared" si="136"/>
        <v>0</v>
      </c>
      <c r="K65" s="59">
        <f t="shared" si="136"/>
        <v>0</v>
      </c>
      <c r="L65" s="59">
        <f t="shared" si="136"/>
        <v>0</v>
      </c>
      <c r="M65" s="59">
        <f t="shared" si="136"/>
        <v>0</v>
      </c>
      <c r="N65" s="59">
        <f t="shared" si="136"/>
        <v>0</v>
      </c>
      <c r="O65" s="59">
        <f t="shared" si="136"/>
        <v>0</v>
      </c>
      <c r="P65" s="59">
        <f t="shared" si="136"/>
        <v>0</v>
      </c>
      <c r="Q65" s="59">
        <f t="shared" si="136"/>
        <v>0</v>
      </c>
      <c r="R65" s="59">
        <f t="shared" si="136"/>
        <v>0</v>
      </c>
      <c r="S65" s="59">
        <f t="shared" si="136"/>
        <v>0</v>
      </c>
      <c r="T65" s="59">
        <f t="shared" si="136"/>
        <v>0</v>
      </c>
      <c r="U65" s="59">
        <f t="shared" si="136"/>
        <v>0</v>
      </c>
      <c r="V65" s="59">
        <f t="shared" si="136"/>
        <v>0</v>
      </c>
      <c r="W65" s="59">
        <f t="shared" si="136"/>
        <v>0</v>
      </c>
      <c r="X65" s="59">
        <f t="shared" si="136"/>
        <v>0</v>
      </c>
      <c r="Y65" s="76"/>
    </row>
    <row r="66" spans="1:25" s="3" customFormat="1" ht="62.25" hidden="1" customHeight="1">
      <c r="A66" s="80"/>
      <c r="B66" s="42" t="s">
        <v>227</v>
      </c>
      <c r="C66" s="81"/>
      <c r="D66" s="43">
        <f t="shared" ref="D66:D67" si="137">E66+J66+N66+O66+SUM(R66:V66)</f>
        <v>0</v>
      </c>
      <c r="E66" s="44">
        <f t="shared" ref="E66:E67" si="138">SUM(F66:I66)</f>
        <v>0</v>
      </c>
      <c r="F66" s="47"/>
      <c r="G66" s="48"/>
      <c r="H66" s="48"/>
      <c r="I66" s="48"/>
      <c r="J66" s="44">
        <f t="shared" ref="J66:J67" si="139">SUM(K66:M66)</f>
        <v>0</v>
      </c>
      <c r="K66" s="48"/>
      <c r="L66" s="48"/>
      <c r="M66" s="48"/>
      <c r="N66" s="48"/>
      <c r="O66" s="44">
        <f t="shared" ref="O66:O67" si="140">SUM(P66:Q66)</f>
        <v>0</v>
      </c>
      <c r="P66" s="48"/>
      <c r="Q66" s="48"/>
      <c r="R66" s="48"/>
      <c r="S66" s="48"/>
      <c r="T66" s="48"/>
      <c r="U66" s="48"/>
      <c r="V66" s="44">
        <f t="shared" ref="V66:V67" si="141">SUM(W66:X66)</f>
        <v>0</v>
      </c>
      <c r="W66" s="48"/>
      <c r="X66" s="48"/>
      <c r="Y66" s="42" t="s">
        <v>228</v>
      </c>
    </row>
    <row r="67" spans="1:25" s="3" customFormat="1" ht="62.25" hidden="1" customHeight="1">
      <c r="A67" s="80"/>
      <c r="B67" s="42" t="s">
        <v>229</v>
      </c>
      <c r="C67" s="81"/>
      <c r="D67" s="43">
        <f t="shared" si="137"/>
        <v>0</v>
      </c>
      <c r="E67" s="44">
        <f t="shared" si="138"/>
        <v>0</v>
      </c>
      <c r="F67" s="47"/>
      <c r="G67" s="48"/>
      <c r="H67" s="48"/>
      <c r="I67" s="48"/>
      <c r="J67" s="44">
        <f t="shared" si="139"/>
        <v>0</v>
      </c>
      <c r="K67" s="48"/>
      <c r="L67" s="48"/>
      <c r="M67" s="48"/>
      <c r="N67" s="48"/>
      <c r="O67" s="44">
        <f t="shared" si="140"/>
        <v>0</v>
      </c>
      <c r="P67" s="48"/>
      <c r="Q67" s="48"/>
      <c r="R67" s="48"/>
      <c r="S67" s="48"/>
      <c r="T67" s="48"/>
      <c r="U67" s="48"/>
      <c r="V67" s="44">
        <f t="shared" si="141"/>
        <v>0</v>
      </c>
      <c r="W67" s="48"/>
      <c r="X67" s="48"/>
      <c r="Y67" s="42" t="s">
        <v>230</v>
      </c>
    </row>
    <row r="68" spans="1:25" s="79" customFormat="1" ht="81.75" hidden="1" customHeight="1">
      <c r="A68" s="76" t="s">
        <v>26</v>
      </c>
      <c r="B68" s="77" t="s">
        <v>191</v>
      </c>
      <c r="C68" s="78" t="s">
        <v>192</v>
      </c>
      <c r="D68" s="59">
        <f>SUM(D69:D72)</f>
        <v>0</v>
      </c>
      <c r="E68" s="59">
        <f t="shared" ref="E68:X68" si="142">SUM(E69:E72)</f>
        <v>0</v>
      </c>
      <c r="F68" s="60">
        <f t="shared" si="142"/>
        <v>0</v>
      </c>
      <c r="G68" s="59">
        <f t="shared" si="142"/>
        <v>0</v>
      </c>
      <c r="H68" s="59">
        <f t="shared" si="142"/>
        <v>0</v>
      </c>
      <c r="I68" s="59">
        <f t="shared" si="142"/>
        <v>0</v>
      </c>
      <c r="J68" s="59">
        <f t="shared" si="142"/>
        <v>0</v>
      </c>
      <c r="K68" s="59">
        <f t="shared" si="142"/>
        <v>0</v>
      </c>
      <c r="L68" s="59">
        <f t="shared" si="142"/>
        <v>0</v>
      </c>
      <c r="M68" s="59">
        <f t="shared" si="142"/>
        <v>0</v>
      </c>
      <c r="N68" s="59">
        <f t="shared" si="142"/>
        <v>0</v>
      </c>
      <c r="O68" s="59">
        <f t="shared" si="142"/>
        <v>0</v>
      </c>
      <c r="P68" s="59">
        <f t="shared" si="142"/>
        <v>0</v>
      </c>
      <c r="Q68" s="59">
        <f t="shared" si="142"/>
        <v>0</v>
      </c>
      <c r="R68" s="59">
        <f t="shared" si="142"/>
        <v>0</v>
      </c>
      <c r="S68" s="59">
        <f t="shared" si="142"/>
        <v>0</v>
      </c>
      <c r="T68" s="59">
        <f t="shared" si="142"/>
        <v>0</v>
      </c>
      <c r="U68" s="59">
        <f t="shared" si="142"/>
        <v>0</v>
      </c>
      <c r="V68" s="59">
        <f t="shared" si="142"/>
        <v>0</v>
      </c>
      <c r="W68" s="59">
        <f t="shared" si="142"/>
        <v>0</v>
      </c>
      <c r="X68" s="59">
        <f t="shared" si="142"/>
        <v>0</v>
      </c>
      <c r="Y68" s="76"/>
    </row>
    <row r="69" spans="1:25" s="3" customFormat="1" ht="62.25" hidden="1" customHeight="1">
      <c r="A69" s="80"/>
      <c r="B69" s="42" t="s">
        <v>231</v>
      </c>
      <c r="C69" s="81"/>
      <c r="D69" s="43">
        <f t="shared" ref="D69:D72" si="143">E69+J69+N69+O69+SUM(R69:V69)</f>
        <v>0</v>
      </c>
      <c r="E69" s="44">
        <f t="shared" ref="E69:E72" si="144">SUM(F69:I69)</f>
        <v>0</v>
      </c>
      <c r="F69" s="47"/>
      <c r="G69" s="48"/>
      <c r="H69" s="48"/>
      <c r="I69" s="48"/>
      <c r="J69" s="44">
        <f t="shared" ref="J69:J72" si="145">SUM(K69:M69)</f>
        <v>0</v>
      </c>
      <c r="K69" s="48"/>
      <c r="L69" s="48"/>
      <c r="M69" s="48"/>
      <c r="N69" s="48"/>
      <c r="O69" s="44">
        <f t="shared" ref="O69:O72" si="146">SUM(P69:Q69)</f>
        <v>0</v>
      </c>
      <c r="P69" s="48"/>
      <c r="Q69" s="48"/>
      <c r="R69" s="48"/>
      <c r="S69" s="48"/>
      <c r="T69" s="48"/>
      <c r="U69" s="48"/>
      <c r="V69" s="44">
        <f t="shared" ref="V69:V72" si="147">SUM(W69:X69)</f>
        <v>0</v>
      </c>
      <c r="W69" s="48"/>
      <c r="X69" s="48"/>
      <c r="Y69" s="80"/>
    </row>
    <row r="70" spans="1:25" s="3" customFormat="1" ht="77.25" hidden="1" customHeight="1">
      <c r="A70" s="80"/>
      <c r="B70" s="42" t="s">
        <v>232</v>
      </c>
      <c r="C70" s="81"/>
      <c r="D70" s="43">
        <f t="shared" si="143"/>
        <v>0</v>
      </c>
      <c r="E70" s="44">
        <f t="shared" si="144"/>
        <v>0</v>
      </c>
      <c r="F70" s="47"/>
      <c r="G70" s="48"/>
      <c r="H70" s="48"/>
      <c r="I70" s="48"/>
      <c r="J70" s="44">
        <f t="shared" si="145"/>
        <v>0</v>
      </c>
      <c r="K70" s="48"/>
      <c r="L70" s="48"/>
      <c r="M70" s="48"/>
      <c r="N70" s="48"/>
      <c r="O70" s="44">
        <f t="shared" si="146"/>
        <v>0</v>
      </c>
      <c r="P70" s="48"/>
      <c r="Q70" s="48"/>
      <c r="R70" s="48"/>
      <c r="S70" s="48"/>
      <c r="T70" s="48"/>
      <c r="U70" s="48"/>
      <c r="V70" s="44">
        <f t="shared" si="147"/>
        <v>0</v>
      </c>
      <c r="W70" s="48"/>
      <c r="X70" s="48"/>
      <c r="Y70" s="80"/>
    </row>
    <row r="71" spans="1:25" s="3" customFormat="1" ht="64.5" hidden="1" customHeight="1">
      <c r="A71" s="80"/>
      <c r="B71" s="42" t="s">
        <v>233</v>
      </c>
      <c r="C71" s="81"/>
      <c r="D71" s="43">
        <f t="shared" si="143"/>
        <v>0</v>
      </c>
      <c r="E71" s="44">
        <f t="shared" si="144"/>
        <v>0</v>
      </c>
      <c r="F71" s="47"/>
      <c r="G71" s="48"/>
      <c r="H71" s="48"/>
      <c r="I71" s="48"/>
      <c r="J71" s="44">
        <f t="shared" si="145"/>
        <v>0</v>
      </c>
      <c r="K71" s="48"/>
      <c r="L71" s="48"/>
      <c r="M71" s="48"/>
      <c r="N71" s="48"/>
      <c r="O71" s="44">
        <f t="shared" si="146"/>
        <v>0</v>
      </c>
      <c r="P71" s="48"/>
      <c r="Q71" s="48"/>
      <c r="R71" s="48"/>
      <c r="S71" s="48"/>
      <c r="T71" s="48"/>
      <c r="U71" s="48"/>
      <c r="V71" s="44">
        <f t="shared" si="147"/>
        <v>0</v>
      </c>
      <c r="W71" s="48"/>
      <c r="X71" s="48"/>
      <c r="Y71" s="80"/>
    </row>
    <row r="72" spans="1:25" s="3" customFormat="1" ht="41.25" hidden="1" customHeight="1">
      <c r="A72" s="80"/>
      <c r="B72" s="42" t="s">
        <v>234</v>
      </c>
      <c r="C72" s="81"/>
      <c r="D72" s="43">
        <f t="shared" si="143"/>
        <v>0</v>
      </c>
      <c r="E72" s="44">
        <f t="shared" si="144"/>
        <v>0</v>
      </c>
      <c r="F72" s="47"/>
      <c r="G72" s="48"/>
      <c r="H72" s="48"/>
      <c r="I72" s="48"/>
      <c r="J72" s="44">
        <f t="shared" si="145"/>
        <v>0</v>
      </c>
      <c r="K72" s="48"/>
      <c r="L72" s="48"/>
      <c r="M72" s="48"/>
      <c r="N72" s="48"/>
      <c r="O72" s="44">
        <f t="shared" si="146"/>
        <v>0</v>
      </c>
      <c r="P72" s="48"/>
      <c r="Q72" s="48"/>
      <c r="R72" s="48"/>
      <c r="S72" s="48"/>
      <c r="T72" s="48"/>
      <c r="U72" s="48"/>
      <c r="V72" s="44">
        <f t="shared" si="147"/>
        <v>0</v>
      </c>
      <c r="W72" s="48"/>
      <c r="X72" s="48"/>
      <c r="Y72" s="80"/>
    </row>
    <row r="73" spans="1:25" s="32" customFormat="1" ht="22.5" hidden="1" customHeight="1">
      <c r="A73" s="31" t="s">
        <v>5</v>
      </c>
      <c r="B73" s="31" t="s">
        <v>235</v>
      </c>
      <c r="C73" s="28"/>
      <c r="D73" s="29">
        <f>D74</f>
        <v>0</v>
      </c>
      <c r="E73" s="29">
        <f t="shared" ref="E73:T75" si="148">E74</f>
        <v>0</v>
      </c>
      <c r="F73" s="30">
        <f t="shared" si="148"/>
        <v>0</v>
      </c>
      <c r="G73" s="29">
        <f t="shared" si="148"/>
        <v>0</v>
      </c>
      <c r="H73" s="29">
        <f t="shared" si="148"/>
        <v>0</v>
      </c>
      <c r="I73" s="29">
        <f t="shared" si="148"/>
        <v>0</v>
      </c>
      <c r="J73" s="29">
        <f t="shared" si="148"/>
        <v>0</v>
      </c>
      <c r="K73" s="29">
        <f t="shared" si="148"/>
        <v>0</v>
      </c>
      <c r="L73" s="29">
        <f t="shared" si="148"/>
        <v>0</v>
      </c>
      <c r="M73" s="29">
        <f t="shared" si="148"/>
        <v>0</v>
      </c>
      <c r="N73" s="29">
        <f t="shared" si="148"/>
        <v>0</v>
      </c>
      <c r="O73" s="29">
        <f t="shared" si="148"/>
        <v>0</v>
      </c>
      <c r="P73" s="29">
        <f t="shared" si="148"/>
        <v>0</v>
      </c>
      <c r="Q73" s="29">
        <f t="shared" si="148"/>
        <v>0</v>
      </c>
      <c r="R73" s="29">
        <f t="shared" si="148"/>
        <v>0</v>
      </c>
      <c r="S73" s="29">
        <f t="shared" si="148"/>
        <v>0</v>
      </c>
      <c r="T73" s="29">
        <f t="shared" si="148"/>
        <v>0</v>
      </c>
      <c r="U73" s="29">
        <f t="shared" ref="U73:X75" si="149">U74</f>
        <v>0</v>
      </c>
      <c r="V73" s="29">
        <f t="shared" si="149"/>
        <v>0</v>
      </c>
      <c r="W73" s="29">
        <f t="shared" si="149"/>
        <v>0</v>
      </c>
      <c r="X73" s="29">
        <f t="shared" si="149"/>
        <v>0</v>
      </c>
      <c r="Y73" s="31"/>
    </row>
    <row r="74" spans="1:25" s="75" customFormat="1" ht="22.5" hidden="1" customHeight="1">
      <c r="A74" s="71">
        <v>1</v>
      </c>
      <c r="B74" s="71" t="s">
        <v>223</v>
      </c>
      <c r="C74" s="72" t="s">
        <v>176</v>
      </c>
      <c r="D74" s="73">
        <f>D75</f>
        <v>0</v>
      </c>
      <c r="E74" s="73">
        <f t="shared" si="148"/>
        <v>0</v>
      </c>
      <c r="F74" s="74">
        <f t="shared" si="148"/>
        <v>0</v>
      </c>
      <c r="G74" s="73">
        <f t="shared" si="148"/>
        <v>0</v>
      </c>
      <c r="H74" s="73">
        <f t="shared" si="148"/>
        <v>0</v>
      </c>
      <c r="I74" s="73">
        <f t="shared" si="148"/>
        <v>0</v>
      </c>
      <c r="J74" s="73">
        <f t="shared" si="148"/>
        <v>0</v>
      </c>
      <c r="K74" s="73">
        <f t="shared" si="148"/>
        <v>0</v>
      </c>
      <c r="L74" s="73">
        <f t="shared" si="148"/>
        <v>0</v>
      </c>
      <c r="M74" s="73">
        <f t="shared" si="148"/>
        <v>0</v>
      </c>
      <c r="N74" s="73">
        <f t="shared" si="148"/>
        <v>0</v>
      </c>
      <c r="O74" s="73">
        <f t="shared" si="148"/>
        <v>0</v>
      </c>
      <c r="P74" s="73">
        <f t="shared" si="148"/>
        <v>0</v>
      </c>
      <c r="Q74" s="73">
        <f t="shared" si="148"/>
        <v>0</v>
      </c>
      <c r="R74" s="73">
        <f t="shared" si="148"/>
        <v>0</v>
      </c>
      <c r="S74" s="73">
        <f t="shared" si="148"/>
        <v>0</v>
      </c>
      <c r="T74" s="73">
        <f t="shared" si="148"/>
        <v>0</v>
      </c>
      <c r="U74" s="73">
        <f t="shared" si="149"/>
        <v>0</v>
      </c>
      <c r="V74" s="73">
        <f t="shared" si="149"/>
        <v>0</v>
      </c>
      <c r="W74" s="73">
        <f t="shared" si="149"/>
        <v>0</v>
      </c>
      <c r="X74" s="73">
        <f t="shared" si="149"/>
        <v>0</v>
      </c>
      <c r="Y74" s="71"/>
    </row>
    <row r="75" spans="1:25" s="87" customFormat="1" ht="75" hidden="1" customHeight="1">
      <c r="A75" s="76"/>
      <c r="B75" s="77" t="s">
        <v>191</v>
      </c>
      <c r="C75" s="78" t="s">
        <v>192</v>
      </c>
      <c r="D75" s="59">
        <f>D76</f>
        <v>0</v>
      </c>
      <c r="E75" s="59">
        <f t="shared" si="148"/>
        <v>0</v>
      </c>
      <c r="F75" s="60">
        <f t="shared" si="148"/>
        <v>0</v>
      </c>
      <c r="G75" s="59">
        <f t="shared" si="148"/>
        <v>0</v>
      </c>
      <c r="H75" s="59">
        <f t="shared" si="148"/>
        <v>0</v>
      </c>
      <c r="I75" s="59">
        <f t="shared" si="148"/>
        <v>0</v>
      </c>
      <c r="J75" s="59">
        <f t="shared" si="148"/>
        <v>0</v>
      </c>
      <c r="K75" s="59">
        <f t="shared" si="148"/>
        <v>0</v>
      </c>
      <c r="L75" s="59">
        <f t="shared" si="148"/>
        <v>0</v>
      </c>
      <c r="M75" s="59">
        <f t="shared" si="148"/>
        <v>0</v>
      </c>
      <c r="N75" s="59">
        <f t="shared" si="148"/>
        <v>0</v>
      </c>
      <c r="O75" s="59">
        <f t="shared" si="148"/>
        <v>0</v>
      </c>
      <c r="P75" s="59">
        <f t="shared" si="148"/>
        <v>0</v>
      </c>
      <c r="Q75" s="59">
        <f t="shared" si="148"/>
        <v>0</v>
      </c>
      <c r="R75" s="59">
        <f t="shared" si="148"/>
        <v>0</v>
      </c>
      <c r="S75" s="59">
        <f t="shared" si="148"/>
        <v>0</v>
      </c>
      <c r="T75" s="59">
        <f t="shared" si="148"/>
        <v>0</v>
      </c>
      <c r="U75" s="59">
        <f t="shared" si="149"/>
        <v>0</v>
      </c>
      <c r="V75" s="59">
        <f t="shared" si="149"/>
        <v>0</v>
      </c>
      <c r="W75" s="59">
        <f t="shared" si="149"/>
        <v>0</v>
      </c>
      <c r="X75" s="59">
        <f t="shared" si="149"/>
        <v>0</v>
      </c>
      <c r="Y75" s="76"/>
    </row>
    <row r="76" spans="1:25" s="3" customFormat="1" ht="45.75" hidden="1" customHeight="1">
      <c r="A76" s="80"/>
      <c r="B76" s="42" t="s">
        <v>234</v>
      </c>
      <c r="C76" s="81"/>
      <c r="D76" s="43">
        <f>E76+J76+N76+O76+SUM(R76:V76)</f>
        <v>0</v>
      </c>
      <c r="E76" s="44">
        <f>SUM(F76:I76)</f>
        <v>0</v>
      </c>
      <c r="F76" s="47"/>
      <c r="G76" s="48"/>
      <c r="H76" s="48"/>
      <c r="I76" s="48"/>
      <c r="J76" s="44">
        <f>SUM(K76:M76)</f>
        <v>0</v>
      </c>
      <c r="K76" s="48"/>
      <c r="L76" s="48"/>
      <c r="M76" s="48"/>
      <c r="N76" s="48"/>
      <c r="O76" s="44">
        <f>SUM(P76:Q76)</f>
        <v>0</v>
      </c>
      <c r="P76" s="48"/>
      <c r="Q76" s="48"/>
      <c r="R76" s="48"/>
      <c r="S76" s="48"/>
      <c r="T76" s="48"/>
      <c r="U76" s="48"/>
      <c r="V76" s="44">
        <f>SUM(W76:X76)</f>
        <v>0</v>
      </c>
      <c r="W76" s="48"/>
      <c r="X76" s="48"/>
      <c r="Y76" s="80"/>
    </row>
    <row r="77" spans="1:25" s="32" customFormat="1" ht="27.75" hidden="1" customHeight="1">
      <c r="A77" s="31" t="s">
        <v>90</v>
      </c>
      <c r="B77" s="31" t="s">
        <v>236</v>
      </c>
      <c r="C77" s="28"/>
      <c r="D77" s="29">
        <f>D78</f>
        <v>0</v>
      </c>
      <c r="E77" s="29">
        <f t="shared" ref="E77:T78" si="150">E78</f>
        <v>0</v>
      </c>
      <c r="F77" s="30">
        <f t="shared" si="150"/>
        <v>0</v>
      </c>
      <c r="G77" s="29">
        <f t="shared" si="150"/>
        <v>0</v>
      </c>
      <c r="H77" s="29">
        <f t="shared" si="150"/>
        <v>0</v>
      </c>
      <c r="I77" s="29">
        <f t="shared" si="150"/>
        <v>0</v>
      </c>
      <c r="J77" s="29">
        <f t="shared" si="150"/>
        <v>0</v>
      </c>
      <c r="K77" s="29">
        <f t="shared" si="150"/>
        <v>0</v>
      </c>
      <c r="L77" s="29">
        <f t="shared" si="150"/>
        <v>0</v>
      </c>
      <c r="M77" s="29">
        <f t="shared" si="150"/>
        <v>0</v>
      </c>
      <c r="N77" s="29">
        <f t="shared" si="150"/>
        <v>0</v>
      </c>
      <c r="O77" s="29">
        <f t="shared" si="150"/>
        <v>0</v>
      </c>
      <c r="P77" s="29">
        <f t="shared" si="150"/>
        <v>0</v>
      </c>
      <c r="Q77" s="29">
        <f t="shared" si="150"/>
        <v>0</v>
      </c>
      <c r="R77" s="29">
        <f t="shared" si="150"/>
        <v>0</v>
      </c>
      <c r="S77" s="29">
        <f t="shared" si="150"/>
        <v>0</v>
      </c>
      <c r="T77" s="29">
        <f t="shared" si="150"/>
        <v>0</v>
      </c>
      <c r="U77" s="29">
        <f t="shared" ref="U77:X78" si="151">U78</f>
        <v>0</v>
      </c>
      <c r="V77" s="29">
        <f t="shared" si="151"/>
        <v>0</v>
      </c>
      <c r="W77" s="29">
        <f t="shared" si="151"/>
        <v>0</v>
      </c>
      <c r="X77" s="29">
        <f t="shared" si="151"/>
        <v>0</v>
      </c>
      <c r="Y77" s="31"/>
    </row>
    <row r="78" spans="1:25" s="75" customFormat="1" ht="27.75" hidden="1" customHeight="1">
      <c r="A78" s="71">
        <v>1</v>
      </c>
      <c r="B78" s="71" t="s">
        <v>223</v>
      </c>
      <c r="C78" s="72" t="s">
        <v>176</v>
      </c>
      <c r="D78" s="73">
        <f>D79</f>
        <v>0</v>
      </c>
      <c r="E78" s="73">
        <f t="shared" si="150"/>
        <v>0</v>
      </c>
      <c r="F78" s="74">
        <f t="shared" si="150"/>
        <v>0</v>
      </c>
      <c r="G78" s="73">
        <f t="shared" si="150"/>
        <v>0</v>
      </c>
      <c r="H78" s="73">
        <f t="shared" si="150"/>
        <v>0</v>
      </c>
      <c r="I78" s="73">
        <f t="shared" si="150"/>
        <v>0</v>
      </c>
      <c r="J78" s="73">
        <f t="shared" si="150"/>
        <v>0</v>
      </c>
      <c r="K78" s="73">
        <f t="shared" si="150"/>
        <v>0</v>
      </c>
      <c r="L78" s="73">
        <f t="shared" si="150"/>
        <v>0</v>
      </c>
      <c r="M78" s="73">
        <f t="shared" si="150"/>
        <v>0</v>
      </c>
      <c r="N78" s="73">
        <f t="shared" si="150"/>
        <v>0</v>
      </c>
      <c r="O78" s="73">
        <f t="shared" si="150"/>
        <v>0</v>
      </c>
      <c r="P78" s="73">
        <f t="shared" si="150"/>
        <v>0</v>
      </c>
      <c r="Q78" s="73">
        <f t="shared" si="150"/>
        <v>0</v>
      </c>
      <c r="R78" s="73">
        <f t="shared" si="150"/>
        <v>0</v>
      </c>
      <c r="S78" s="73">
        <f t="shared" si="150"/>
        <v>0</v>
      </c>
      <c r="T78" s="73">
        <f t="shared" si="150"/>
        <v>0</v>
      </c>
      <c r="U78" s="73">
        <f t="shared" si="151"/>
        <v>0</v>
      </c>
      <c r="V78" s="73">
        <f t="shared" si="151"/>
        <v>0</v>
      </c>
      <c r="W78" s="73">
        <f t="shared" si="151"/>
        <v>0</v>
      </c>
      <c r="X78" s="73">
        <f t="shared" si="151"/>
        <v>0</v>
      </c>
      <c r="Y78" s="71"/>
    </row>
    <row r="79" spans="1:25" s="87" customFormat="1" ht="74.25" hidden="1" customHeight="1">
      <c r="A79" s="76"/>
      <c r="B79" s="77" t="s">
        <v>191</v>
      </c>
      <c r="C79" s="78" t="s">
        <v>192</v>
      </c>
      <c r="D79" s="59">
        <f>SUM(D80:D81)</f>
        <v>0</v>
      </c>
      <c r="E79" s="59">
        <f t="shared" ref="E79:X79" si="152">SUM(E80:E81)</f>
        <v>0</v>
      </c>
      <c r="F79" s="60">
        <f t="shared" si="152"/>
        <v>0</v>
      </c>
      <c r="G79" s="59">
        <f t="shared" si="152"/>
        <v>0</v>
      </c>
      <c r="H79" s="59">
        <f t="shared" si="152"/>
        <v>0</v>
      </c>
      <c r="I79" s="59">
        <f t="shared" si="152"/>
        <v>0</v>
      </c>
      <c r="J79" s="59">
        <f t="shared" si="152"/>
        <v>0</v>
      </c>
      <c r="K79" s="59">
        <f t="shared" si="152"/>
        <v>0</v>
      </c>
      <c r="L79" s="59">
        <f t="shared" si="152"/>
        <v>0</v>
      </c>
      <c r="M79" s="59">
        <f t="shared" si="152"/>
        <v>0</v>
      </c>
      <c r="N79" s="59">
        <f t="shared" si="152"/>
        <v>0</v>
      </c>
      <c r="O79" s="59">
        <f t="shared" si="152"/>
        <v>0</v>
      </c>
      <c r="P79" s="59">
        <f t="shared" si="152"/>
        <v>0</v>
      </c>
      <c r="Q79" s="59">
        <f t="shared" si="152"/>
        <v>0</v>
      </c>
      <c r="R79" s="59">
        <f t="shared" si="152"/>
        <v>0</v>
      </c>
      <c r="S79" s="59">
        <f t="shared" si="152"/>
        <v>0</v>
      </c>
      <c r="T79" s="59">
        <f t="shared" si="152"/>
        <v>0</v>
      </c>
      <c r="U79" s="59">
        <f t="shared" si="152"/>
        <v>0</v>
      </c>
      <c r="V79" s="59">
        <f t="shared" si="152"/>
        <v>0</v>
      </c>
      <c r="W79" s="59">
        <f t="shared" si="152"/>
        <v>0</v>
      </c>
      <c r="X79" s="59">
        <f t="shared" si="152"/>
        <v>0</v>
      </c>
      <c r="Y79" s="76"/>
    </row>
    <row r="80" spans="1:25" s="3" customFormat="1" ht="45" hidden="1" customHeight="1">
      <c r="A80" s="80"/>
      <c r="B80" s="42" t="s">
        <v>237</v>
      </c>
      <c r="C80" s="81"/>
      <c r="D80" s="43">
        <f t="shared" ref="D80:D81" si="153">E80+J80+N80+O80+SUM(R80:V80)</f>
        <v>0</v>
      </c>
      <c r="E80" s="44">
        <f t="shared" ref="E80:E81" si="154">SUM(F80:I80)</f>
        <v>0</v>
      </c>
      <c r="F80" s="47"/>
      <c r="G80" s="48"/>
      <c r="H80" s="48"/>
      <c r="I80" s="48"/>
      <c r="J80" s="44">
        <f t="shared" ref="J80:J81" si="155">SUM(K80:M80)</f>
        <v>0</v>
      </c>
      <c r="K80" s="48"/>
      <c r="L80" s="48"/>
      <c r="M80" s="48"/>
      <c r="N80" s="48"/>
      <c r="O80" s="44">
        <f t="shared" ref="O80:O81" si="156">SUM(P80:Q80)</f>
        <v>0</v>
      </c>
      <c r="P80" s="48"/>
      <c r="Q80" s="48"/>
      <c r="R80" s="48"/>
      <c r="S80" s="48"/>
      <c r="T80" s="48"/>
      <c r="U80" s="48"/>
      <c r="V80" s="44">
        <f t="shared" ref="V80:V81" si="157">SUM(W80:X80)</f>
        <v>0</v>
      </c>
      <c r="W80" s="48"/>
      <c r="X80" s="48"/>
      <c r="Y80" s="80"/>
    </row>
    <row r="81" spans="1:25" s="3" customFormat="1" ht="45" hidden="1" customHeight="1">
      <c r="A81" s="80"/>
      <c r="B81" s="42" t="s">
        <v>234</v>
      </c>
      <c r="C81" s="81"/>
      <c r="D81" s="43">
        <f t="shared" si="153"/>
        <v>0</v>
      </c>
      <c r="E81" s="44">
        <f t="shared" si="154"/>
        <v>0</v>
      </c>
      <c r="F81" s="47"/>
      <c r="G81" s="48"/>
      <c r="H81" s="48"/>
      <c r="I81" s="48"/>
      <c r="J81" s="44">
        <f t="shared" si="155"/>
        <v>0</v>
      </c>
      <c r="K81" s="48"/>
      <c r="L81" s="48"/>
      <c r="M81" s="48"/>
      <c r="N81" s="48"/>
      <c r="O81" s="44">
        <f t="shared" si="156"/>
        <v>0</v>
      </c>
      <c r="P81" s="48"/>
      <c r="Q81" s="48"/>
      <c r="R81" s="48"/>
      <c r="S81" s="48"/>
      <c r="T81" s="48"/>
      <c r="U81" s="48"/>
      <c r="V81" s="44">
        <f t="shared" si="157"/>
        <v>0</v>
      </c>
      <c r="W81" s="48"/>
      <c r="X81" s="48"/>
      <c r="Y81" s="80"/>
    </row>
    <row r="82" spans="1:25" s="32" customFormat="1" ht="22.5" customHeight="1">
      <c r="A82" s="31" t="s">
        <v>5</v>
      </c>
      <c r="B82" s="743" t="s">
        <v>238</v>
      </c>
      <c r="C82" s="744"/>
      <c r="D82" s="29">
        <f t="shared" ref="D82:X82" si="158">D86+D83</f>
        <v>604</v>
      </c>
      <c r="E82" s="29">
        <f t="shared" si="158"/>
        <v>0</v>
      </c>
      <c r="F82" s="30">
        <f t="shared" si="158"/>
        <v>0</v>
      </c>
      <c r="G82" s="29">
        <f t="shared" si="158"/>
        <v>0</v>
      </c>
      <c r="H82" s="29">
        <f t="shared" si="158"/>
        <v>0</v>
      </c>
      <c r="I82" s="29">
        <f t="shared" si="158"/>
        <v>0</v>
      </c>
      <c r="J82" s="29">
        <f t="shared" si="158"/>
        <v>0</v>
      </c>
      <c r="K82" s="29">
        <f t="shared" si="158"/>
        <v>0</v>
      </c>
      <c r="L82" s="29">
        <f t="shared" si="158"/>
        <v>0</v>
      </c>
      <c r="M82" s="29">
        <f t="shared" si="158"/>
        <v>0</v>
      </c>
      <c r="N82" s="29">
        <f t="shared" si="158"/>
        <v>0</v>
      </c>
      <c r="O82" s="29">
        <f t="shared" si="158"/>
        <v>604</v>
      </c>
      <c r="P82" s="29">
        <f t="shared" si="158"/>
        <v>604</v>
      </c>
      <c r="Q82" s="29">
        <f t="shared" si="158"/>
        <v>0</v>
      </c>
      <c r="R82" s="29">
        <f t="shared" si="158"/>
        <v>0</v>
      </c>
      <c r="S82" s="29">
        <f t="shared" si="158"/>
        <v>0</v>
      </c>
      <c r="T82" s="29">
        <f t="shared" si="158"/>
        <v>0</v>
      </c>
      <c r="U82" s="29">
        <f t="shared" si="158"/>
        <v>0</v>
      </c>
      <c r="V82" s="29">
        <f t="shared" si="158"/>
        <v>0</v>
      </c>
      <c r="W82" s="29">
        <f t="shared" si="158"/>
        <v>0</v>
      </c>
      <c r="X82" s="29">
        <f t="shared" si="158"/>
        <v>0</v>
      </c>
      <c r="Y82" s="31"/>
    </row>
    <row r="83" spans="1:25" s="75" customFormat="1" ht="27.75" hidden="1" customHeight="1">
      <c r="A83" s="71">
        <v>1</v>
      </c>
      <c r="B83" s="71" t="s">
        <v>223</v>
      </c>
      <c r="C83" s="72" t="s">
        <v>176</v>
      </c>
      <c r="D83" s="73">
        <f>D84</f>
        <v>0</v>
      </c>
      <c r="E83" s="73">
        <f t="shared" ref="E83:T84" si="159">E84</f>
        <v>0</v>
      </c>
      <c r="F83" s="74">
        <f t="shared" si="159"/>
        <v>0</v>
      </c>
      <c r="G83" s="73">
        <f t="shared" si="159"/>
        <v>0</v>
      </c>
      <c r="H83" s="73">
        <f t="shared" si="159"/>
        <v>0</v>
      </c>
      <c r="I83" s="73">
        <f t="shared" si="159"/>
        <v>0</v>
      </c>
      <c r="J83" s="73">
        <f t="shared" si="159"/>
        <v>0</v>
      </c>
      <c r="K83" s="73">
        <f t="shared" si="159"/>
        <v>0</v>
      </c>
      <c r="L83" s="73">
        <f t="shared" si="159"/>
        <v>0</v>
      </c>
      <c r="M83" s="73">
        <f t="shared" si="159"/>
        <v>0</v>
      </c>
      <c r="N83" s="73">
        <f t="shared" si="159"/>
        <v>0</v>
      </c>
      <c r="O83" s="73">
        <f t="shared" si="159"/>
        <v>0</v>
      </c>
      <c r="P83" s="73">
        <f t="shared" si="159"/>
        <v>0</v>
      </c>
      <c r="Q83" s="73">
        <f t="shared" si="159"/>
        <v>0</v>
      </c>
      <c r="R83" s="73">
        <f t="shared" si="159"/>
        <v>0</v>
      </c>
      <c r="S83" s="73">
        <f t="shared" si="159"/>
        <v>0</v>
      </c>
      <c r="T83" s="73">
        <f t="shared" si="159"/>
        <v>0</v>
      </c>
      <c r="U83" s="73">
        <f t="shared" ref="U83:X84" si="160">U84</f>
        <v>0</v>
      </c>
      <c r="V83" s="73">
        <f t="shared" si="160"/>
        <v>0</v>
      </c>
      <c r="W83" s="73">
        <f t="shared" si="160"/>
        <v>0</v>
      </c>
      <c r="X83" s="73">
        <f t="shared" si="160"/>
        <v>0</v>
      </c>
      <c r="Y83" s="71"/>
    </row>
    <row r="84" spans="1:25" s="88" customFormat="1" ht="45" hidden="1" customHeight="1">
      <c r="A84" s="76"/>
      <c r="B84" s="77" t="s">
        <v>181</v>
      </c>
      <c r="C84" s="78" t="s">
        <v>182</v>
      </c>
      <c r="D84" s="59">
        <f>D85</f>
        <v>0</v>
      </c>
      <c r="E84" s="59">
        <f t="shared" si="159"/>
        <v>0</v>
      </c>
      <c r="F84" s="60">
        <f t="shared" si="159"/>
        <v>0</v>
      </c>
      <c r="G84" s="59">
        <f t="shared" si="159"/>
        <v>0</v>
      </c>
      <c r="H84" s="59">
        <f t="shared" si="159"/>
        <v>0</v>
      </c>
      <c r="I84" s="59">
        <f t="shared" si="159"/>
        <v>0</v>
      </c>
      <c r="J84" s="59">
        <f t="shared" si="159"/>
        <v>0</v>
      </c>
      <c r="K84" s="59">
        <f t="shared" si="159"/>
        <v>0</v>
      </c>
      <c r="L84" s="59">
        <f t="shared" si="159"/>
        <v>0</v>
      </c>
      <c r="M84" s="59">
        <f t="shared" si="159"/>
        <v>0</v>
      </c>
      <c r="N84" s="59">
        <f t="shared" si="159"/>
        <v>0</v>
      </c>
      <c r="O84" s="59">
        <f t="shared" si="159"/>
        <v>0</v>
      </c>
      <c r="P84" s="59">
        <f t="shared" si="159"/>
        <v>0</v>
      </c>
      <c r="Q84" s="59">
        <f t="shared" si="159"/>
        <v>0</v>
      </c>
      <c r="R84" s="59">
        <f t="shared" si="159"/>
        <v>0</v>
      </c>
      <c r="S84" s="59">
        <f t="shared" si="159"/>
        <v>0</v>
      </c>
      <c r="T84" s="59">
        <f t="shared" si="159"/>
        <v>0</v>
      </c>
      <c r="U84" s="59">
        <f t="shared" si="160"/>
        <v>0</v>
      </c>
      <c r="V84" s="59">
        <f t="shared" si="160"/>
        <v>0</v>
      </c>
      <c r="W84" s="59">
        <f t="shared" si="160"/>
        <v>0</v>
      </c>
      <c r="X84" s="59">
        <f t="shared" si="160"/>
        <v>0</v>
      </c>
      <c r="Y84" s="76"/>
    </row>
    <row r="85" spans="1:25" s="3" customFormat="1" ht="41.25" hidden="1" customHeight="1">
      <c r="A85" s="80"/>
      <c r="B85" s="42" t="s">
        <v>239</v>
      </c>
      <c r="C85" s="81"/>
      <c r="D85" s="43">
        <f>E85+J85+N85+O85+SUM(R85:V85)</f>
        <v>0</v>
      </c>
      <c r="E85" s="44">
        <f>SUM(F85:I85)</f>
        <v>0</v>
      </c>
      <c r="F85" s="47"/>
      <c r="G85" s="48"/>
      <c r="H85" s="48"/>
      <c r="I85" s="48"/>
      <c r="J85" s="44">
        <f t="shared" ref="J85" si="161">SUM(K85:M85)</f>
        <v>0</v>
      </c>
      <c r="K85" s="48"/>
      <c r="L85" s="48"/>
      <c r="M85" s="48"/>
      <c r="N85" s="48"/>
      <c r="O85" s="44">
        <f t="shared" ref="O85" si="162">SUM(P85:Q85)</f>
        <v>0</v>
      </c>
      <c r="P85" s="48"/>
      <c r="Q85" s="48"/>
      <c r="R85" s="48"/>
      <c r="S85" s="48"/>
      <c r="T85" s="48"/>
      <c r="U85" s="48"/>
      <c r="V85" s="44">
        <f t="shared" ref="V85" si="163">SUM(W85:X85)</f>
        <v>0</v>
      </c>
      <c r="W85" s="48"/>
      <c r="X85" s="48"/>
      <c r="Y85" s="80"/>
    </row>
    <row r="86" spans="1:25" s="75" customFormat="1" ht="26.25" customHeight="1">
      <c r="A86" s="71">
        <v>1</v>
      </c>
      <c r="B86" s="71" t="s">
        <v>240</v>
      </c>
      <c r="C86" s="72" t="s">
        <v>194</v>
      </c>
      <c r="D86" s="73">
        <f>D87</f>
        <v>604</v>
      </c>
      <c r="E86" s="73">
        <f t="shared" ref="E86:T88" si="164">E87</f>
        <v>0</v>
      </c>
      <c r="F86" s="74">
        <f t="shared" si="164"/>
        <v>0</v>
      </c>
      <c r="G86" s="73">
        <f t="shared" si="164"/>
        <v>0</v>
      </c>
      <c r="H86" s="73">
        <f t="shared" si="164"/>
        <v>0</v>
      </c>
      <c r="I86" s="73">
        <f t="shared" si="164"/>
        <v>0</v>
      </c>
      <c r="J86" s="73">
        <f t="shared" si="164"/>
        <v>0</v>
      </c>
      <c r="K86" s="73">
        <f t="shared" si="164"/>
        <v>0</v>
      </c>
      <c r="L86" s="73">
        <f t="shared" si="164"/>
        <v>0</v>
      </c>
      <c r="M86" s="73">
        <f t="shared" si="164"/>
        <v>0</v>
      </c>
      <c r="N86" s="73">
        <f t="shared" si="164"/>
        <v>0</v>
      </c>
      <c r="O86" s="73">
        <f t="shared" si="164"/>
        <v>604</v>
      </c>
      <c r="P86" s="73">
        <f t="shared" si="164"/>
        <v>604</v>
      </c>
      <c r="Q86" s="73">
        <f t="shared" si="164"/>
        <v>0</v>
      </c>
      <c r="R86" s="73">
        <f t="shared" si="164"/>
        <v>0</v>
      </c>
      <c r="S86" s="73">
        <f t="shared" si="164"/>
        <v>0</v>
      </c>
      <c r="T86" s="73">
        <f t="shared" si="164"/>
        <v>0</v>
      </c>
      <c r="U86" s="73">
        <f t="shared" ref="U86:X88" si="165">U87</f>
        <v>0</v>
      </c>
      <c r="V86" s="73">
        <f t="shared" si="165"/>
        <v>0</v>
      </c>
      <c r="W86" s="73">
        <f t="shared" si="165"/>
        <v>0</v>
      </c>
      <c r="X86" s="73">
        <f t="shared" si="165"/>
        <v>0</v>
      </c>
      <c r="Y86" s="71"/>
    </row>
    <row r="87" spans="1:25" s="88" customFormat="1" ht="42" customHeight="1">
      <c r="A87" s="76" t="s">
        <v>8</v>
      </c>
      <c r="B87" s="77" t="s">
        <v>195</v>
      </c>
      <c r="C87" s="78" t="s">
        <v>196</v>
      </c>
      <c r="D87" s="59">
        <f>D88</f>
        <v>604</v>
      </c>
      <c r="E87" s="59">
        <f t="shared" si="164"/>
        <v>0</v>
      </c>
      <c r="F87" s="60">
        <f t="shared" si="164"/>
        <v>0</v>
      </c>
      <c r="G87" s="59">
        <f t="shared" si="164"/>
        <v>0</v>
      </c>
      <c r="H87" s="59">
        <f t="shared" si="164"/>
        <v>0</v>
      </c>
      <c r="I87" s="59">
        <f t="shared" si="164"/>
        <v>0</v>
      </c>
      <c r="J87" s="59">
        <f t="shared" si="164"/>
        <v>0</v>
      </c>
      <c r="K87" s="59">
        <f t="shared" si="164"/>
        <v>0</v>
      </c>
      <c r="L87" s="59">
        <f t="shared" si="164"/>
        <v>0</v>
      </c>
      <c r="M87" s="59">
        <f t="shared" si="164"/>
        <v>0</v>
      </c>
      <c r="N87" s="59">
        <f t="shared" si="164"/>
        <v>0</v>
      </c>
      <c r="O87" s="59">
        <f t="shared" si="164"/>
        <v>604</v>
      </c>
      <c r="P87" s="59">
        <f t="shared" si="164"/>
        <v>604</v>
      </c>
      <c r="Q87" s="59">
        <f t="shared" si="164"/>
        <v>0</v>
      </c>
      <c r="R87" s="59">
        <f t="shared" si="164"/>
        <v>0</v>
      </c>
      <c r="S87" s="59">
        <f t="shared" si="164"/>
        <v>0</v>
      </c>
      <c r="T87" s="59">
        <f t="shared" si="164"/>
        <v>0</v>
      </c>
      <c r="U87" s="59">
        <f t="shared" si="165"/>
        <v>0</v>
      </c>
      <c r="V87" s="59">
        <f t="shared" si="165"/>
        <v>0</v>
      </c>
      <c r="W87" s="59">
        <f t="shared" si="165"/>
        <v>0</v>
      </c>
      <c r="X87" s="59">
        <f t="shared" si="165"/>
        <v>0</v>
      </c>
      <c r="Y87" s="76"/>
    </row>
    <row r="88" spans="1:25" s="32" customFormat="1" ht="75" customHeight="1">
      <c r="A88" s="41" t="s">
        <v>14</v>
      </c>
      <c r="B88" s="89" t="s">
        <v>241</v>
      </c>
      <c r="C88" s="28"/>
      <c r="D88" s="43">
        <f>D89</f>
        <v>604</v>
      </c>
      <c r="E88" s="43">
        <f t="shared" si="164"/>
        <v>0</v>
      </c>
      <c r="F88" s="90">
        <f t="shared" si="164"/>
        <v>0</v>
      </c>
      <c r="G88" s="43">
        <f t="shared" si="164"/>
        <v>0</v>
      </c>
      <c r="H88" s="43">
        <f t="shared" si="164"/>
        <v>0</v>
      </c>
      <c r="I88" s="43">
        <f t="shared" si="164"/>
        <v>0</v>
      </c>
      <c r="J88" s="43">
        <f t="shared" si="164"/>
        <v>0</v>
      </c>
      <c r="K88" s="43">
        <f t="shared" si="164"/>
        <v>0</v>
      </c>
      <c r="L88" s="43">
        <f t="shared" si="164"/>
        <v>0</v>
      </c>
      <c r="M88" s="43">
        <f t="shared" si="164"/>
        <v>0</v>
      </c>
      <c r="N88" s="43">
        <f t="shared" si="164"/>
        <v>0</v>
      </c>
      <c r="O88" s="43">
        <f t="shared" si="164"/>
        <v>604</v>
      </c>
      <c r="P88" s="43">
        <f t="shared" si="164"/>
        <v>604</v>
      </c>
      <c r="Q88" s="43">
        <f t="shared" si="164"/>
        <v>0</v>
      </c>
      <c r="R88" s="43">
        <f t="shared" si="164"/>
        <v>0</v>
      </c>
      <c r="S88" s="43">
        <f t="shared" si="164"/>
        <v>0</v>
      </c>
      <c r="T88" s="43">
        <f t="shared" si="164"/>
        <v>0</v>
      </c>
      <c r="U88" s="43">
        <f t="shared" si="165"/>
        <v>0</v>
      </c>
      <c r="V88" s="43">
        <f t="shared" si="165"/>
        <v>0</v>
      </c>
      <c r="W88" s="43">
        <f t="shared" si="165"/>
        <v>0</v>
      </c>
      <c r="X88" s="43">
        <f t="shared" si="165"/>
        <v>0</v>
      </c>
      <c r="Y88" s="31"/>
    </row>
    <row r="89" spans="1:25" s="62" customFormat="1" ht="26.25" customHeight="1">
      <c r="A89" s="91"/>
      <c r="B89" s="92" t="s">
        <v>242</v>
      </c>
      <c r="C89" s="58"/>
      <c r="D89" s="93">
        <f>E89+J89+N89+O89+SUM(R89:V89)</f>
        <v>604</v>
      </c>
      <c r="E89" s="94">
        <f>SUM(F89:I89)</f>
        <v>0</v>
      </c>
      <c r="F89" s="95">
        <f>ROUND((F242*15%),-0.1)</f>
        <v>0</v>
      </c>
      <c r="G89" s="96">
        <f t="shared" ref="G89:X89" si="166">ROUND((G242*15%),-0.1)</f>
        <v>0</v>
      </c>
      <c r="H89" s="96">
        <f t="shared" si="166"/>
        <v>0</v>
      </c>
      <c r="I89" s="96">
        <f t="shared" si="166"/>
        <v>0</v>
      </c>
      <c r="J89" s="94">
        <f t="shared" ref="J89" si="167">SUM(K89:M89)</f>
        <v>0</v>
      </c>
      <c r="K89" s="96">
        <f t="shared" si="166"/>
        <v>0</v>
      </c>
      <c r="L89" s="96">
        <f t="shared" si="166"/>
        <v>0</v>
      </c>
      <c r="M89" s="96">
        <f t="shared" si="166"/>
        <v>0</v>
      </c>
      <c r="N89" s="96">
        <f t="shared" si="166"/>
        <v>0</v>
      </c>
      <c r="O89" s="94">
        <f t="shared" ref="O89" si="168">SUM(P89:Q89)</f>
        <v>604</v>
      </c>
      <c r="P89" s="96">
        <f t="shared" si="166"/>
        <v>604</v>
      </c>
      <c r="Q89" s="96">
        <f t="shared" si="166"/>
        <v>0</v>
      </c>
      <c r="R89" s="96">
        <f t="shared" si="166"/>
        <v>0</v>
      </c>
      <c r="S89" s="96">
        <f t="shared" si="166"/>
        <v>0</v>
      </c>
      <c r="T89" s="96">
        <f t="shared" si="166"/>
        <v>0</v>
      </c>
      <c r="U89" s="96">
        <f t="shared" si="166"/>
        <v>0</v>
      </c>
      <c r="V89" s="94">
        <f>SUM(W89:X89)</f>
        <v>0</v>
      </c>
      <c r="W89" s="96">
        <f t="shared" si="166"/>
        <v>0</v>
      </c>
      <c r="X89" s="96">
        <f t="shared" si="166"/>
        <v>0</v>
      </c>
      <c r="Y89" s="61"/>
    </row>
    <row r="90" spans="1:25" s="32" customFormat="1" ht="26.25" customHeight="1">
      <c r="A90" s="31" t="s">
        <v>90</v>
      </c>
      <c r="B90" s="31" t="s">
        <v>243</v>
      </c>
      <c r="C90" s="28"/>
      <c r="D90" s="29">
        <f>D91+D94</f>
        <v>32</v>
      </c>
      <c r="E90" s="29">
        <f t="shared" ref="E90:X90" si="169">E91+E94</f>
        <v>0</v>
      </c>
      <c r="F90" s="30">
        <f t="shared" si="169"/>
        <v>0</v>
      </c>
      <c r="G90" s="29">
        <f t="shared" si="169"/>
        <v>0</v>
      </c>
      <c r="H90" s="29">
        <f t="shared" si="169"/>
        <v>0</v>
      </c>
      <c r="I90" s="29">
        <f t="shared" si="169"/>
        <v>0</v>
      </c>
      <c r="J90" s="29">
        <f t="shared" si="169"/>
        <v>0</v>
      </c>
      <c r="K90" s="29">
        <f t="shared" si="169"/>
        <v>0</v>
      </c>
      <c r="L90" s="29">
        <f t="shared" si="169"/>
        <v>0</v>
      </c>
      <c r="M90" s="29">
        <f t="shared" si="169"/>
        <v>0</v>
      </c>
      <c r="N90" s="29">
        <f t="shared" si="169"/>
        <v>0</v>
      </c>
      <c r="O90" s="29">
        <f t="shared" si="169"/>
        <v>0</v>
      </c>
      <c r="P90" s="29">
        <f t="shared" si="169"/>
        <v>0</v>
      </c>
      <c r="Q90" s="29">
        <f t="shared" si="169"/>
        <v>0</v>
      </c>
      <c r="R90" s="29">
        <f t="shared" si="169"/>
        <v>32</v>
      </c>
      <c r="S90" s="29">
        <f t="shared" si="169"/>
        <v>0</v>
      </c>
      <c r="T90" s="29">
        <f t="shared" si="169"/>
        <v>0</v>
      </c>
      <c r="U90" s="29">
        <f t="shared" si="169"/>
        <v>0</v>
      </c>
      <c r="V90" s="29">
        <f t="shared" si="169"/>
        <v>0</v>
      </c>
      <c r="W90" s="29">
        <f t="shared" si="169"/>
        <v>0</v>
      </c>
      <c r="X90" s="29">
        <f t="shared" si="169"/>
        <v>0</v>
      </c>
      <c r="Y90" s="31"/>
    </row>
    <row r="91" spans="1:25" s="75" customFormat="1" ht="30" customHeight="1">
      <c r="A91" s="71">
        <v>1</v>
      </c>
      <c r="B91" s="71" t="s">
        <v>221</v>
      </c>
      <c r="C91" s="72" t="s">
        <v>159</v>
      </c>
      <c r="D91" s="73">
        <f>D92</f>
        <v>32</v>
      </c>
      <c r="E91" s="73">
        <f t="shared" ref="E91:T92" si="170">E92</f>
        <v>0</v>
      </c>
      <c r="F91" s="74">
        <f t="shared" si="170"/>
        <v>0</v>
      </c>
      <c r="G91" s="73">
        <f t="shared" si="170"/>
        <v>0</v>
      </c>
      <c r="H91" s="73">
        <f t="shared" si="170"/>
        <v>0</v>
      </c>
      <c r="I91" s="73">
        <f t="shared" si="170"/>
        <v>0</v>
      </c>
      <c r="J91" s="73">
        <f t="shared" si="170"/>
        <v>0</v>
      </c>
      <c r="K91" s="73">
        <f t="shared" si="170"/>
        <v>0</v>
      </c>
      <c r="L91" s="73">
        <f t="shared" si="170"/>
        <v>0</v>
      </c>
      <c r="M91" s="73">
        <f t="shared" si="170"/>
        <v>0</v>
      </c>
      <c r="N91" s="73">
        <f t="shared" si="170"/>
        <v>0</v>
      </c>
      <c r="O91" s="73">
        <f t="shared" si="170"/>
        <v>0</v>
      </c>
      <c r="P91" s="73">
        <f t="shared" si="170"/>
        <v>0</v>
      </c>
      <c r="Q91" s="73">
        <f t="shared" si="170"/>
        <v>0</v>
      </c>
      <c r="R91" s="73">
        <f t="shared" si="170"/>
        <v>32</v>
      </c>
      <c r="S91" s="73">
        <f t="shared" si="170"/>
        <v>0</v>
      </c>
      <c r="T91" s="73">
        <f t="shared" si="170"/>
        <v>0</v>
      </c>
      <c r="U91" s="73">
        <f t="shared" ref="U91:X92" si="171">U92</f>
        <v>0</v>
      </c>
      <c r="V91" s="73">
        <f t="shared" si="171"/>
        <v>0</v>
      </c>
      <c r="W91" s="73">
        <f t="shared" si="171"/>
        <v>0</v>
      </c>
      <c r="X91" s="73">
        <f t="shared" si="171"/>
        <v>0</v>
      </c>
      <c r="Y91" s="71"/>
    </row>
    <row r="92" spans="1:25" s="79" customFormat="1">
      <c r="A92" s="76"/>
      <c r="B92" s="77" t="s">
        <v>160</v>
      </c>
      <c r="C92" s="78" t="s">
        <v>161</v>
      </c>
      <c r="D92" s="59">
        <f>D93</f>
        <v>32</v>
      </c>
      <c r="E92" s="59">
        <f t="shared" si="170"/>
        <v>0</v>
      </c>
      <c r="F92" s="60">
        <f t="shared" si="170"/>
        <v>0</v>
      </c>
      <c r="G92" s="59">
        <f t="shared" si="170"/>
        <v>0</v>
      </c>
      <c r="H92" s="59">
        <f t="shared" si="170"/>
        <v>0</v>
      </c>
      <c r="I92" s="59">
        <f t="shared" si="170"/>
        <v>0</v>
      </c>
      <c r="J92" s="59">
        <f t="shared" si="170"/>
        <v>0</v>
      </c>
      <c r="K92" s="59">
        <f t="shared" si="170"/>
        <v>0</v>
      </c>
      <c r="L92" s="59">
        <f t="shared" si="170"/>
        <v>0</v>
      </c>
      <c r="M92" s="59">
        <f t="shared" si="170"/>
        <v>0</v>
      </c>
      <c r="N92" s="59">
        <f t="shared" si="170"/>
        <v>0</v>
      </c>
      <c r="O92" s="59">
        <f t="shared" si="170"/>
        <v>0</v>
      </c>
      <c r="P92" s="59">
        <f t="shared" si="170"/>
        <v>0</v>
      </c>
      <c r="Q92" s="59">
        <f t="shared" si="170"/>
        <v>0</v>
      </c>
      <c r="R92" s="59">
        <f t="shared" si="170"/>
        <v>32</v>
      </c>
      <c r="S92" s="59">
        <f t="shared" si="170"/>
        <v>0</v>
      </c>
      <c r="T92" s="59">
        <f t="shared" si="170"/>
        <v>0</v>
      </c>
      <c r="U92" s="59">
        <f t="shared" si="171"/>
        <v>0</v>
      </c>
      <c r="V92" s="59">
        <f t="shared" si="171"/>
        <v>0</v>
      </c>
      <c r="W92" s="59">
        <f t="shared" si="171"/>
        <v>0</v>
      </c>
      <c r="X92" s="59">
        <f t="shared" si="171"/>
        <v>0</v>
      </c>
      <c r="Y92" s="76"/>
    </row>
    <row r="93" spans="1:25" s="3" customFormat="1" ht="30" customHeight="1">
      <c r="A93" s="80"/>
      <c r="B93" s="42" t="s">
        <v>244</v>
      </c>
      <c r="C93" s="81"/>
      <c r="D93" s="43">
        <f>E93+J93+N93+O93+SUM(R93:V93)</f>
        <v>32</v>
      </c>
      <c r="E93" s="44">
        <f>SUM(F93:I93)</f>
        <v>0</v>
      </c>
      <c r="F93" s="45">
        <f>ROUND((F246*15%),-0.1)</f>
        <v>0</v>
      </c>
      <c r="G93" s="46">
        <f t="shared" ref="G93:X93" si="172">ROUND((G246*15%),-0.1)</f>
        <v>0</v>
      </c>
      <c r="H93" s="46">
        <f t="shared" si="172"/>
        <v>0</v>
      </c>
      <c r="I93" s="46">
        <f t="shared" si="172"/>
        <v>0</v>
      </c>
      <c r="J93" s="44">
        <f t="shared" ref="J93" si="173">SUM(K93:M93)</f>
        <v>0</v>
      </c>
      <c r="K93" s="46">
        <f t="shared" si="172"/>
        <v>0</v>
      </c>
      <c r="L93" s="46">
        <f t="shared" si="172"/>
        <v>0</v>
      </c>
      <c r="M93" s="46">
        <f t="shared" si="172"/>
        <v>0</v>
      </c>
      <c r="N93" s="46">
        <f t="shared" si="172"/>
        <v>0</v>
      </c>
      <c r="O93" s="44">
        <f t="shared" ref="O93" si="174">SUM(P93:Q93)</f>
        <v>0</v>
      </c>
      <c r="P93" s="46">
        <f t="shared" si="172"/>
        <v>0</v>
      </c>
      <c r="Q93" s="46">
        <f t="shared" si="172"/>
        <v>0</v>
      </c>
      <c r="R93" s="46">
        <f t="shared" si="172"/>
        <v>32</v>
      </c>
      <c r="S93" s="46">
        <f t="shared" si="172"/>
        <v>0</v>
      </c>
      <c r="T93" s="46">
        <f t="shared" si="172"/>
        <v>0</v>
      </c>
      <c r="U93" s="46">
        <f t="shared" si="172"/>
        <v>0</v>
      </c>
      <c r="V93" s="44">
        <f t="shared" ref="V93" si="175">SUM(W93:X93)</f>
        <v>0</v>
      </c>
      <c r="W93" s="46">
        <f t="shared" si="172"/>
        <v>0</v>
      </c>
      <c r="X93" s="46">
        <f t="shared" si="172"/>
        <v>0</v>
      </c>
      <c r="Y93" s="80"/>
    </row>
    <row r="94" spans="1:25" s="75" customFormat="1" ht="30" hidden="1" customHeight="1">
      <c r="A94" s="71">
        <v>2</v>
      </c>
      <c r="B94" s="71" t="s">
        <v>223</v>
      </c>
      <c r="C94" s="72" t="s">
        <v>176</v>
      </c>
      <c r="D94" s="73">
        <f>D95</f>
        <v>0</v>
      </c>
      <c r="E94" s="73">
        <f t="shared" ref="E94:T95" si="176">E95</f>
        <v>0</v>
      </c>
      <c r="F94" s="74">
        <f t="shared" si="176"/>
        <v>0</v>
      </c>
      <c r="G94" s="73">
        <f t="shared" si="176"/>
        <v>0</v>
      </c>
      <c r="H94" s="73">
        <f t="shared" si="176"/>
        <v>0</v>
      </c>
      <c r="I94" s="73">
        <f t="shared" si="176"/>
        <v>0</v>
      </c>
      <c r="J94" s="73">
        <f t="shared" si="176"/>
        <v>0</v>
      </c>
      <c r="K94" s="73">
        <f t="shared" si="176"/>
        <v>0</v>
      </c>
      <c r="L94" s="73">
        <f t="shared" si="176"/>
        <v>0</v>
      </c>
      <c r="M94" s="73">
        <f t="shared" si="176"/>
        <v>0</v>
      </c>
      <c r="N94" s="73">
        <f t="shared" si="176"/>
        <v>0</v>
      </c>
      <c r="O94" s="73">
        <f t="shared" si="176"/>
        <v>0</v>
      </c>
      <c r="P94" s="73">
        <f t="shared" si="176"/>
        <v>0</v>
      </c>
      <c r="Q94" s="73">
        <f t="shared" si="176"/>
        <v>0</v>
      </c>
      <c r="R94" s="73">
        <f t="shared" si="176"/>
        <v>0</v>
      </c>
      <c r="S94" s="73">
        <f t="shared" si="176"/>
        <v>0</v>
      </c>
      <c r="T94" s="73">
        <f t="shared" si="176"/>
        <v>0</v>
      </c>
      <c r="U94" s="73">
        <f t="shared" ref="U94:X95" si="177">U95</f>
        <v>0</v>
      </c>
      <c r="V94" s="73">
        <f t="shared" si="177"/>
        <v>0</v>
      </c>
      <c r="W94" s="73">
        <f t="shared" si="177"/>
        <v>0</v>
      </c>
      <c r="X94" s="73">
        <f t="shared" si="177"/>
        <v>0</v>
      </c>
      <c r="Y94" s="71"/>
    </row>
    <row r="95" spans="1:25" s="79" customFormat="1" ht="73.5" hidden="1" customHeight="1">
      <c r="A95" s="76"/>
      <c r="B95" s="77" t="s">
        <v>191</v>
      </c>
      <c r="C95" s="78" t="s">
        <v>192</v>
      </c>
      <c r="D95" s="59">
        <f>D96</f>
        <v>0</v>
      </c>
      <c r="E95" s="59">
        <f t="shared" si="176"/>
        <v>0</v>
      </c>
      <c r="F95" s="60">
        <f t="shared" si="176"/>
        <v>0</v>
      </c>
      <c r="G95" s="59">
        <f t="shared" si="176"/>
        <v>0</v>
      </c>
      <c r="H95" s="59">
        <f t="shared" si="176"/>
        <v>0</v>
      </c>
      <c r="I95" s="59">
        <f t="shared" si="176"/>
        <v>0</v>
      </c>
      <c r="J95" s="59">
        <f t="shared" si="176"/>
        <v>0</v>
      </c>
      <c r="K95" s="59">
        <f t="shared" si="176"/>
        <v>0</v>
      </c>
      <c r="L95" s="59">
        <f t="shared" si="176"/>
        <v>0</v>
      </c>
      <c r="M95" s="59">
        <f t="shared" si="176"/>
        <v>0</v>
      </c>
      <c r="N95" s="59">
        <f t="shared" si="176"/>
        <v>0</v>
      </c>
      <c r="O95" s="59">
        <f t="shared" si="176"/>
        <v>0</v>
      </c>
      <c r="P95" s="59">
        <f t="shared" si="176"/>
        <v>0</v>
      </c>
      <c r="Q95" s="59">
        <f t="shared" si="176"/>
        <v>0</v>
      </c>
      <c r="R95" s="59">
        <f t="shared" si="176"/>
        <v>0</v>
      </c>
      <c r="S95" s="59">
        <f t="shared" si="176"/>
        <v>0</v>
      </c>
      <c r="T95" s="59">
        <f t="shared" si="176"/>
        <v>0</v>
      </c>
      <c r="U95" s="59">
        <f t="shared" si="177"/>
        <v>0</v>
      </c>
      <c r="V95" s="59">
        <f t="shared" si="177"/>
        <v>0</v>
      </c>
      <c r="W95" s="59">
        <f t="shared" si="177"/>
        <v>0</v>
      </c>
      <c r="X95" s="59">
        <f t="shared" si="177"/>
        <v>0</v>
      </c>
      <c r="Y95" s="76"/>
    </row>
    <row r="96" spans="1:25" s="3" customFormat="1" ht="54" hidden="1" customHeight="1">
      <c r="A96" s="80"/>
      <c r="B96" s="42" t="s">
        <v>237</v>
      </c>
      <c r="C96" s="81"/>
      <c r="D96" s="43">
        <f>E96+J96+N96+O96+SUM(R96:V96)</f>
        <v>0</v>
      </c>
      <c r="E96" s="44">
        <f>SUM(F96:I96)</f>
        <v>0</v>
      </c>
      <c r="F96" s="47"/>
      <c r="G96" s="48"/>
      <c r="H96" s="48"/>
      <c r="I96" s="48"/>
      <c r="J96" s="44">
        <f>SUM(K96:M96)</f>
        <v>0</v>
      </c>
      <c r="K96" s="48"/>
      <c r="L96" s="48"/>
      <c r="M96" s="48"/>
      <c r="N96" s="48"/>
      <c r="O96" s="44">
        <f>SUM(P96:Q96)</f>
        <v>0</v>
      </c>
      <c r="P96" s="48"/>
      <c r="Q96" s="48"/>
      <c r="R96" s="48"/>
      <c r="S96" s="48"/>
      <c r="T96" s="48"/>
      <c r="U96" s="48"/>
      <c r="V96" s="44">
        <f>SUM(W96:X96)</f>
        <v>0</v>
      </c>
      <c r="W96" s="48"/>
      <c r="X96" s="48"/>
      <c r="Y96" s="80"/>
    </row>
    <row r="97" spans="1:25" s="32" customFormat="1" ht="24.75" customHeight="1">
      <c r="A97" s="31" t="s">
        <v>101</v>
      </c>
      <c r="B97" s="743" t="s">
        <v>245</v>
      </c>
      <c r="C97" s="744"/>
      <c r="D97" s="29">
        <f>D98+D107</f>
        <v>837</v>
      </c>
      <c r="E97" s="29">
        <f t="shared" ref="E97:X97" si="178">E98+E107</f>
        <v>157</v>
      </c>
      <c r="F97" s="30">
        <f t="shared" si="178"/>
        <v>157</v>
      </c>
      <c r="G97" s="29">
        <f t="shared" si="178"/>
        <v>0</v>
      </c>
      <c r="H97" s="29">
        <f t="shared" si="178"/>
        <v>0</v>
      </c>
      <c r="I97" s="29">
        <f t="shared" si="178"/>
        <v>0</v>
      </c>
      <c r="J97" s="29">
        <f t="shared" si="178"/>
        <v>0</v>
      </c>
      <c r="K97" s="29">
        <f t="shared" si="178"/>
        <v>0</v>
      </c>
      <c r="L97" s="29">
        <f t="shared" si="178"/>
        <v>0</v>
      </c>
      <c r="M97" s="29">
        <f t="shared" si="178"/>
        <v>0</v>
      </c>
      <c r="N97" s="29">
        <f t="shared" si="178"/>
        <v>0</v>
      </c>
      <c r="O97" s="29">
        <f t="shared" si="178"/>
        <v>236</v>
      </c>
      <c r="P97" s="29">
        <f t="shared" si="178"/>
        <v>0</v>
      </c>
      <c r="Q97" s="29">
        <f t="shared" si="178"/>
        <v>236</v>
      </c>
      <c r="R97" s="29">
        <f t="shared" si="178"/>
        <v>0</v>
      </c>
      <c r="S97" s="29">
        <f t="shared" si="178"/>
        <v>184</v>
      </c>
      <c r="T97" s="29">
        <f t="shared" si="178"/>
        <v>0</v>
      </c>
      <c r="U97" s="29">
        <f t="shared" si="178"/>
        <v>260</v>
      </c>
      <c r="V97" s="29">
        <f t="shared" si="178"/>
        <v>0</v>
      </c>
      <c r="W97" s="29">
        <f t="shared" si="178"/>
        <v>0</v>
      </c>
      <c r="X97" s="29">
        <f t="shared" si="178"/>
        <v>0</v>
      </c>
      <c r="Y97" s="31"/>
    </row>
    <row r="98" spans="1:25" s="75" customFormat="1" ht="27.75" customHeight="1">
      <c r="A98" s="71">
        <v>1</v>
      </c>
      <c r="B98" s="71" t="s">
        <v>221</v>
      </c>
      <c r="C98" s="72" t="s">
        <v>159</v>
      </c>
      <c r="D98" s="73">
        <f>D99+D102+D104</f>
        <v>837</v>
      </c>
      <c r="E98" s="73">
        <f t="shared" ref="E98:X98" si="179">E99+E102+E104</f>
        <v>157</v>
      </c>
      <c r="F98" s="74">
        <f t="shared" si="179"/>
        <v>157</v>
      </c>
      <c r="G98" s="73">
        <f t="shared" si="179"/>
        <v>0</v>
      </c>
      <c r="H98" s="73">
        <f t="shared" si="179"/>
        <v>0</v>
      </c>
      <c r="I98" s="73">
        <f t="shared" si="179"/>
        <v>0</v>
      </c>
      <c r="J98" s="73">
        <f t="shared" si="179"/>
        <v>0</v>
      </c>
      <c r="K98" s="73">
        <f t="shared" si="179"/>
        <v>0</v>
      </c>
      <c r="L98" s="73">
        <f t="shared" si="179"/>
        <v>0</v>
      </c>
      <c r="M98" s="73">
        <f t="shared" si="179"/>
        <v>0</v>
      </c>
      <c r="N98" s="73">
        <f t="shared" si="179"/>
        <v>0</v>
      </c>
      <c r="O98" s="73">
        <f t="shared" si="179"/>
        <v>236</v>
      </c>
      <c r="P98" s="73">
        <f t="shared" si="179"/>
        <v>0</v>
      </c>
      <c r="Q98" s="73">
        <f t="shared" si="179"/>
        <v>236</v>
      </c>
      <c r="R98" s="73">
        <f t="shared" si="179"/>
        <v>0</v>
      </c>
      <c r="S98" s="73">
        <f t="shared" si="179"/>
        <v>184</v>
      </c>
      <c r="T98" s="73">
        <f t="shared" si="179"/>
        <v>0</v>
      </c>
      <c r="U98" s="73">
        <f t="shared" si="179"/>
        <v>260</v>
      </c>
      <c r="V98" s="73">
        <f t="shared" si="179"/>
        <v>0</v>
      </c>
      <c r="W98" s="73">
        <f t="shared" si="179"/>
        <v>0</v>
      </c>
      <c r="X98" s="73">
        <f t="shared" si="179"/>
        <v>0</v>
      </c>
      <c r="Y98" s="71"/>
    </row>
    <row r="99" spans="1:25" s="88" customFormat="1" ht="42" customHeight="1">
      <c r="A99" s="76" t="s">
        <v>8</v>
      </c>
      <c r="B99" s="77" t="s">
        <v>163</v>
      </c>
      <c r="C99" s="78" t="s">
        <v>164</v>
      </c>
      <c r="D99" s="59">
        <f>SUM(D100:D101)</f>
        <v>496</v>
      </c>
      <c r="E99" s="59">
        <f t="shared" ref="E99:X99" si="180">SUM(E100:E101)</f>
        <v>0</v>
      </c>
      <c r="F99" s="60">
        <f t="shared" si="180"/>
        <v>0</v>
      </c>
      <c r="G99" s="59">
        <f t="shared" si="180"/>
        <v>0</v>
      </c>
      <c r="H99" s="59">
        <f t="shared" si="180"/>
        <v>0</v>
      </c>
      <c r="I99" s="59">
        <f t="shared" si="180"/>
        <v>0</v>
      </c>
      <c r="J99" s="59">
        <f t="shared" si="180"/>
        <v>0</v>
      </c>
      <c r="K99" s="59">
        <f t="shared" si="180"/>
        <v>0</v>
      </c>
      <c r="L99" s="59">
        <f t="shared" si="180"/>
        <v>0</v>
      </c>
      <c r="M99" s="59">
        <f t="shared" si="180"/>
        <v>0</v>
      </c>
      <c r="N99" s="59">
        <f t="shared" si="180"/>
        <v>0</v>
      </c>
      <c r="O99" s="59">
        <f t="shared" si="180"/>
        <v>236</v>
      </c>
      <c r="P99" s="59">
        <f t="shared" si="180"/>
        <v>0</v>
      </c>
      <c r="Q99" s="59">
        <f t="shared" si="180"/>
        <v>236</v>
      </c>
      <c r="R99" s="59">
        <f t="shared" si="180"/>
        <v>0</v>
      </c>
      <c r="S99" s="59">
        <f t="shared" si="180"/>
        <v>0</v>
      </c>
      <c r="T99" s="59">
        <f t="shared" si="180"/>
        <v>0</v>
      </c>
      <c r="U99" s="59">
        <f t="shared" si="180"/>
        <v>260</v>
      </c>
      <c r="V99" s="59">
        <f t="shared" si="180"/>
        <v>0</v>
      </c>
      <c r="W99" s="59">
        <f t="shared" si="180"/>
        <v>0</v>
      </c>
      <c r="X99" s="59">
        <f t="shared" si="180"/>
        <v>0</v>
      </c>
      <c r="Y99" s="76"/>
    </row>
    <row r="100" spans="1:25" s="99" customFormat="1" ht="47.25" customHeight="1">
      <c r="A100" s="97"/>
      <c r="B100" s="42" t="s">
        <v>246</v>
      </c>
      <c r="C100" s="98"/>
      <c r="D100" s="43">
        <f>E100+J100+N100+O100+SUM(R100:V100)</f>
        <v>236</v>
      </c>
      <c r="E100" s="44">
        <f>SUM(F100:I100)</f>
        <v>0</v>
      </c>
      <c r="F100" s="45">
        <f>ROUND((F253*15%),-0.1)</f>
        <v>0</v>
      </c>
      <c r="G100" s="46">
        <f t="shared" ref="G100:I101" si="181">ROUND((G253*15%),-0.1)</f>
        <v>0</v>
      </c>
      <c r="H100" s="46">
        <f t="shared" si="181"/>
        <v>0</v>
      </c>
      <c r="I100" s="46">
        <f t="shared" si="181"/>
        <v>0</v>
      </c>
      <c r="J100" s="44">
        <f t="shared" ref="J100:J101" si="182">SUM(K100:M100)</f>
        <v>0</v>
      </c>
      <c r="K100" s="46">
        <f t="shared" ref="K100:N101" si="183">ROUND((K253*15%),-0.1)</f>
        <v>0</v>
      </c>
      <c r="L100" s="46">
        <f t="shared" si="183"/>
        <v>0</v>
      </c>
      <c r="M100" s="46">
        <f t="shared" si="183"/>
        <v>0</v>
      </c>
      <c r="N100" s="46">
        <f t="shared" si="183"/>
        <v>0</v>
      </c>
      <c r="O100" s="44">
        <f t="shared" ref="O100:O101" si="184">SUM(P100:Q100)</f>
        <v>236</v>
      </c>
      <c r="P100" s="46">
        <f t="shared" ref="P100:U101" si="185">ROUND((P253*15%),-0.1)</f>
        <v>0</v>
      </c>
      <c r="Q100" s="46">
        <f t="shared" si="185"/>
        <v>236</v>
      </c>
      <c r="R100" s="46">
        <f t="shared" si="185"/>
        <v>0</v>
      </c>
      <c r="S100" s="46">
        <f t="shared" si="185"/>
        <v>0</v>
      </c>
      <c r="T100" s="46">
        <f t="shared" si="185"/>
        <v>0</v>
      </c>
      <c r="U100" s="46">
        <f t="shared" si="185"/>
        <v>0</v>
      </c>
      <c r="V100" s="44">
        <f t="shared" ref="V100:V101" si="186">SUM(W100:X100)</f>
        <v>0</v>
      </c>
      <c r="W100" s="46">
        <f t="shared" ref="W100:X101" si="187">ROUND((W253*15%),-0.1)</f>
        <v>0</v>
      </c>
      <c r="X100" s="46">
        <f t="shared" si="187"/>
        <v>0</v>
      </c>
      <c r="Y100" s="97"/>
    </row>
    <row r="101" spans="1:25" s="99" customFormat="1" ht="30.75" customHeight="1">
      <c r="A101" s="97"/>
      <c r="B101" s="42" t="s">
        <v>247</v>
      </c>
      <c r="C101" s="98"/>
      <c r="D101" s="43">
        <f>E101+J101+N101+O101+SUM(R101:V101)</f>
        <v>260</v>
      </c>
      <c r="E101" s="44">
        <f>SUM(F101:I101)</f>
        <v>0</v>
      </c>
      <c r="F101" s="45">
        <f>ROUND((F254*15%),-0.1)</f>
        <v>0</v>
      </c>
      <c r="G101" s="46">
        <f t="shared" si="181"/>
        <v>0</v>
      </c>
      <c r="H101" s="46">
        <f t="shared" si="181"/>
        <v>0</v>
      </c>
      <c r="I101" s="46">
        <f t="shared" si="181"/>
        <v>0</v>
      </c>
      <c r="J101" s="44">
        <f t="shared" si="182"/>
        <v>0</v>
      </c>
      <c r="K101" s="46">
        <f t="shared" si="183"/>
        <v>0</v>
      </c>
      <c r="L101" s="46">
        <f t="shared" si="183"/>
        <v>0</v>
      </c>
      <c r="M101" s="46">
        <f t="shared" si="183"/>
        <v>0</v>
      </c>
      <c r="N101" s="46">
        <f t="shared" si="183"/>
        <v>0</v>
      </c>
      <c r="O101" s="44">
        <f t="shared" si="184"/>
        <v>0</v>
      </c>
      <c r="P101" s="46">
        <f t="shared" si="185"/>
        <v>0</v>
      </c>
      <c r="Q101" s="46">
        <f t="shared" si="185"/>
        <v>0</v>
      </c>
      <c r="R101" s="46">
        <f t="shared" si="185"/>
        <v>0</v>
      </c>
      <c r="S101" s="46">
        <f t="shared" si="185"/>
        <v>0</v>
      </c>
      <c r="T101" s="46">
        <f t="shared" si="185"/>
        <v>0</v>
      </c>
      <c r="U101" s="46">
        <f t="shared" si="185"/>
        <v>260</v>
      </c>
      <c r="V101" s="44">
        <f t="shared" si="186"/>
        <v>0</v>
      </c>
      <c r="W101" s="46">
        <f t="shared" si="187"/>
        <v>0</v>
      </c>
      <c r="X101" s="46">
        <f t="shared" si="187"/>
        <v>0</v>
      </c>
      <c r="Y101" s="97"/>
    </row>
    <row r="102" spans="1:25" s="88" customFormat="1" ht="28.5" customHeight="1">
      <c r="A102" s="76" t="s">
        <v>9</v>
      </c>
      <c r="B102" s="77" t="s">
        <v>167</v>
      </c>
      <c r="C102" s="78" t="s">
        <v>168</v>
      </c>
      <c r="D102" s="59">
        <f>D103</f>
        <v>184</v>
      </c>
      <c r="E102" s="59">
        <f t="shared" ref="E102:X102" si="188">E103</f>
        <v>0</v>
      </c>
      <c r="F102" s="60">
        <f t="shared" si="188"/>
        <v>0</v>
      </c>
      <c r="G102" s="59">
        <f t="shared" si="188"/>
        <v>0</v>
      </c>
      <c r="H102" s="59">
        <f t="shared" si="188"/>
        <v>0</v>
      </c>
      <c r="I102" s="59">
        <f t="shared" si="188"/>
        <v>0</v>
      </c>
      <c r="J102" s="59">
        <f t="shared" si="188"/>
        <v>0</v>
      </c>
      <c r="K102" s="59">
        <f t="shared" si="188"/>
        <v>0</v>
      </c>
      <c r="L102" s="59">
        <f t="shared" si="188"/>
        <v>0</v>
      </c>
      <c r="M102" s="59">
        <f t="shared" si="188"/>
        <v>0</v>
      </c>
      <c r="N102" s="59">
        <f t="shared" si="188"/>
        <v>0</v>
      </c>
      <c r="O102" s="59">
        <f t="shared" si="188"/>
        <v>0</v>
      </c>
      <c r="P102" s="59">
        <f t="shared" si="188"/>
        <v>0</v>
      </c>
      <c r="Q102" s="59">
        <f t="shared" si="188"/>
        <v>0</v>
      </c>
      <c r="R102" s="59">
        <f t="shared" si="188"/>
        <v>0</v>
      </c>
      <c r="S102" s="59">
        <f t="shared" si="188"/>
        <v>184</v>
      </c>
      <c r="T102" s="59">
        <f t="shared" si="188"/>
        <v>0</v>
      </c>
      <c r="U102" s="59">
        <f t="shared" si="188"/>
        <v>0</v>
      </c>
      <c r="V102" s="59">
        <f t="shared" si="188"/>
        <v>0</v>
      </c>
      <c r="W102" s="59">
        <f t="shared" si="188"/>
        <v>0</v>
      </c>
      <c r="X102" s="59">
        <f t="shared" si="188"/>
        <v>0</v>
      </c>
      <c r="Y102" s="76"/>
    </row>
    <row r="103" spans="1:25" s="3" customFormat="1" ht="25.5" customHeight="1">
      <c r="A103" s="80"/>
      <c r="B103" s="42" t="s">
        <v>248</v>
      </c>
      <c r="C103" s="81"/>
      <c r="D103" s="43">
        <f>E103+J103+N103+O103+SUM(R103:V103)</f>
        <v>184</v>
      </c>
      <c r="E103" s="44">
        <f>SUM(F103:I103)</f>
        <v>0</v>
      </c>
      <c r="F103" s="45">
        <f>ROUND((F256*15%),-0.1)</f>
        <v>0</v>
      </c>
      <c r="G103" s="46">
        <f t="shared" ref="G103:X103" si="189">ROUND((G256*15%),-0.1)</f>
        <v>0</v>
      </c>
      <c r="H103" s="46">
        <f t="shared" si="189"/>
        <v>0</v>
      </c>
      <c r="I103" s="46">
        <f t="shared" si="189"/>
        <v>0</v>
      </c>
      <c r="J103" s="44">
        <f t="shared" ref="J103" si="190">SUM(K103:M103)</f>
        <v>0</v>
      </c>
      <c r="K103" s="46">
        <f t="shared" si="189"/>
        <v>0</v>
      </c>
      <c r="L103" s="46">
        <f t="shared" si="189"/>
        <v>0</v>
      </c>
      <c r="M103" s="46">
        <f t="shared" si="189"/>
        <v>0</v>
      </c>
      <c r="N103" s="46">
        <f t="shared" si="189"/>
        <v>0</v>
      </c>
      <c r="O103" s="44">
        <f t="shared" ref="O103" si="191">SUM(P103:Q103)</f>
        <v>0</v>
      </c>
      <c r="P103" s="46">
        <f t="shared" si="189"/>
        <v>0</v>
      </c>
      <c r="Q103" s="46">
        <f t="shared" si="189"/>
        <v>0</v>
      </c>
      <c r="R103" s="46">
        <f t="shared" si="189"/>
        <v>0</v>
      </c>
      <c r="S103" s="46">
        <f t="shared" si="189"/>
        <v>184</v>
      </c>
      <c r="T103" s="46">
        <f t="shared" si="189"/>
        <v>0</v>
      </c>
      <c r="U103" s="46">
        <f t="shared" si="189"/>
        <v>0</v>
      </c>
      <c r="V103" s="44">
        <f t="shared" ref="V103" si="192">SUM(W103:X103)</f>
        <v>0</v>
      </c>
      <c r="W103" s="46">
        <f t="shared" si="189"/>
        <v>0</v>
      </c>
      <c r="X103" s="46">
        <f t="shared" si="189"/>
        <v>0</v>
      </c>
      <c r="Y103" s="80"/>
    </row>
    <row r="104" spans="1:25" s="79" customFormat="1" ht="47.25" customHeight="1">
      <c r="A104" s="76" t="s">
        <v>20</v>
      </c>
      <c r="B104" s="77" t="s">
        <v>171</v>
      </c>
      <c r="C104" s="78" t="s">
        <v>172</v>
      </c>
      <c r="D104" s="59">
        <f>SUM(D105:D106)</f>
        <v>157</v>
      </c>
      <c r="E104" s="59">
        <f t="shared" ref="E104:X104" si="193">SUM(E105:E106)</f>
        <v>157</v>
      </c>
      <c r="F104" s="60">
        <f t="shared" si="193"/>
        <v>157</v>
      </c>
      <c r="G104" s="59">
        <f t="shared" si="193"/>
        <v>0</v>
      </c>
      <c r="H104" s="59">
        <f t="shared" si="193"/>
        <v>0</v>
      </c>
      <c r="I104" s="59">
        <f t="shared" si="193"/>
        <v>0</v>
      </c>
      <c r="J104" s="59">
        <f t="shared" si="193"/>
        <v>0</v>
      </c>
      <c r="K104" s="59">
        <f t="shared" si="193"/>
        <v>0</v>
      </c>
      <c r="L104" s="59">
        <f t="shared" si="193"/>
        <v>0</v>
      </c>
      <c r="M104" s="59">
        <f t="shared" si="193"/>
        <v>0</v>
      </c>
      <c r="N104" s="59">
        <f t="shared" si="193"/>
        <v>0</v>
      </c>
      <c r="O104" s="59">
        <f t="shared" si="193"/>
        <v>0</v>
      </c>
      <c r="P104" s="59">
        <f t="shared" si="193"/>
        <v>0</v>
      </c>
      <c r="Q104" s="59">
        <f t="shared" si="193"/>
        <v>0</v>
      </c>
      <c r="R104" s="59">
        <f t="shared" si="193"/>
        <v>0</v>
      </c>
      <c r="S104" s="59">
        <f t="shared" si="193"/>
        <v>0</v>
      </c>
      <c r="T104" s="59">
        <f t="shared" si="193"/>
        <v>0</v>
      </c>
      <c r="U104" s="59">
        <f t="shared" si="193"/>
        <v>0</v>
      </c>
      <c r="V104" s="59">
        <f t="shared" si="193"/>
        <v>0</v>
      </c>
      <c r="W104" s="59">
        <f t="shared" si="193"/>
        <v>0</v>
      </c>
      <c r="X104" s="59">
        <f t="shared" si="193"/>
        <v>0</v>
      </c>
      <c r="Y104" s="76"/>
    </row>
    <row r="105" spans="1:25" s="3" customFormat="1" ht="26.25" customHeight="1">
      <c r="A105" s="80"/>
      <c r="B105" s="42" t="s">
        <v>249</v>
      </c>
      <c r="C105" s="81"/>
      <c r="D105" s="43">
        <f t="shared" ref="D105:D106" si="194">E105+J105+N105+O105+SUM(R105:V105)</f>
        <v>124</v>
      </c>
      <c r="E105" s="44">
        <f t="shared" ref="E105:E106" si="195">SUM(F105:I105)</f>
        <v>124</v>
      </c>
      <c r="F105" s="45">
        <f>ROUND((F258*15%),-0.1)</f>
        <v>124</v>
      </c>
      <c r="G105" s="46">
        <f t="shared" ref="G105:I106" si="196">ROUND((G258*15%),-0.1)</f>
        <v>0</v>
      </c>
      <c r="H105" s="46">
        <f t="shared" si="196"/>
        <v>0</v>
      </c>
      <c r="I105" s="46">
        <f t="shared" si="196"/>
        <v>0</v>
      </c>
      <c r="J105" s="44">
        <f t="shared" ref="J105:J106" si="197">SUM(K105:M105)</f>
        <v>0</v>
      </c>
      <c r="K105" s="46">
        <f t="shared" ref="K105:N106" si="198">ROUND((K258*15%),-0.1)</f>
        <v>0</v>
      </c>
      <c r="L105" s="46">
        <f t="shared" si="198"/>
        <v>0</v>
      </c>
      <c r="M105" s="46">
        <f t="shared" si="198"/>
        <v>0</v>
      </c>
      <c r="N105" s="46">
        <f t="shared" si="198"/>
        <v>0</v>
      </c>
      <c r="O105" s="44">
        <f t="shared" ref="O105:O106" si="199">SUM(P105:Q105)</f>
        <v>0</v>
      </c>
      <c r="P105" s="46">
        <f t="shared" ref="P105:U106" si="200">ROUND((P258*15%),-0.1)</f>
        <v>0</v>
      </c>
      <c r="Q105" s="46">
        <f t="shared" si="200"/>
        <v>0</v>
      </c>
      <c r="R105" s="46">
        <f t="shared" si="200"/>
        <v>0</v>
      </c>
      <c r="S105" s="46">
        <f t="shared" si="200"/>
        <v>0</v>
      </c>
      <c r="T105" s="46">
        <f t="shared" si="200"/>
        <v>0</v>
      </c>
      <c r="U105" s="46">
        <f t="shared" si="200"/>
        <v>0</v>
      </c>
      <c r="V105" s="44">
        <f t="shared" ref="V105:V106" si="201">SUM(W105:X105)</f>
        <v>0</v>
      </c>
      <c r="W105" s="46">
        <f t="shared" ref="W105:X106" si="202">ROUND((W258*15%),-0.1)</f>
        <v>0</v>
      </c>
      <c r="X105" s="46">
        <f t="shared" si="202"/>
        <v>0</v>
      </c>
      <c r="Y105" s="80"/>
    </row>
    <row r="106" spans="1:25" s="3" customFormat="1" ht="30" customHeight="1">
      <c r="A106" s="80"/>
      <c r="B106" s="42" t="s">
        <v>222</v>
      </c>
      <c r="C106" s="81"/>
      <c r="D106" s="43">
        <f t="shared" si="194"/>
        <v>33</v>
      </c>
      <c r="E106" s="44">
        <f t="shared" si="195"/>
        <v>33</v>
      </c>
      <c r="F106" s="45">
        <f>ROUND((F259*15%),-0.1)</f>
        <v>33</v>
      </c>
      <c r="G106" s="46">
        <f t="shared" si="196"/>
        <v>0</v>
      </c>
      <c r="H106" s="46">
        <f t="shared" si="196"/>
        <v>0</v>
      </c>
      <c r="I106" s="46">
        <f t="shared" si="196"/>
        <v>0</v>
      </c>
      <c r="J106" s="44">
        <f t="shared" si="197"/>
        <v>0</v>
      </c>
      <c r="K106" s="46">
        <f t="shared" si="198"/>
        <v>0</v>
      </c>
      <c r="L106" s="46">
        <f t="shared" si="198"/>
        <v>0</v>
      </c>
      <c r="M106" s="46">
        <f t="shared" si="198"/>
        <v>0</v>
      </c>
      <c r="N106" s="46">
        <f t="shared" si="198"/>
        <v>0</v>
      </c>
      <c r="O106" s="44">
        <f t="shared" si="199"/>
        <v>0</v>
      </c>
      <c r="P106" s="46">
        <f t="shared" si="200"/>
        <v>0</v>
      </c>
      <c r="Q106" s="46">
        <f t="shared" si="200"/>
        <v>0</v>
      </c>
      <c r="R106" s="46">
        <f t="shared" si="200"/>
        <v>0</v>
      </c>
      <c r="S106" s="46">
        <f t="shared" si="200"/>
        <v>0</v>
      </c>
      <c r="T106" s="46">
        <f t="shared" si="200"/>
        <v>0</v>
      </c>
      <c r="U106" s="46">
        <f t="shared" si="200"/>
        <v>0</v>
      </c>
      <c r="V106" s="44">
        <f t="shared" si="201"/>
        <v>0</v>
      </c>
      <c r="W106" s="46">
        <f t="shared" si="202"/>
        <v>0</v>
      </c>
      <c r="X106" s="46">
        <f t="shared" si="202"/>
        <v>0</v>
      </c>
      <c r="Y106" s="80"/>
    </row>
    <row r="107" spans="1:25" s="75" customFormat="1" ht="24.75" hidden="1" customHeight="1">
      <c r="A107" s="71">
        <v>2</v>
      </c>
      <c r="B107" s="71" t="s">
        <v>223</v>
      </c>
      <c r="C107" s="72" t="s">
        <v>176</v>
      </c>
      <c r="D107" s="73">
        <f>D108</f>
        <v>0</v>
      </c>
      <c r="E107" s="73">
        <f t="shared" ref="E107:X107" si="203">E108</f>
        <v>0</v>
      </c>
      <c r="F107" s="74">
        <f t="shared" si="203"/>
        <v>0</v>
      </c>
      <c r="G107" s="73">
        <f t="shared" si="203"/>
        <v>0</v>
      </c>
      <c r="H107" s="73">
        <f t="shared" si="203"/>
        <v>0</v>
      </c>
      <c r="I107" s="73">
        <f t="shared" si="203"/>
        <v>0</v>
      </c>
      <c r="J107" s="73">
        <f t="shared" si="203"/>
        <v>0</v>
      </c>
      <c r="K107" s="73">
        <f t="shared" si="203"/>
        <v>0</v>
      </c>
      <c r="L107" s="73">
        <f t="shared" si="203"/>
        <v>0</v>
      </c>
      <c r="M107" s="73">
        <f t="shared" si="203"/>
        <v>0</v>
      </c>
      <c r="N107" s="73">
        <f t="shared" si="203"/>
        <v>0</v>
      </c>
      <c r="O107" s="73">
        <f t="shared" si="203"/>
        <v>0</v>
      </c>
      <c r="P107" s="73">
        <f t="shared" si="203"/>
        <v>0</v>
      </c>
      <c r="Q107" s="73">
        <f t="shared" si="203"/>
        <v>0</v>
      </c>
      <c r="R107" s="73">
        <f t="shared" si="203"/>
        <v>0</v>
      </c>
      <c r="S107" s="73">
        <f t="shared" si="203"/>
        <v>0</v>
      </c>
      <c r="T107" s="73">
        <f t="shared" si="203"/>
        <v>0</v>
      </c>
      <c r="U107" s="73">
        <f t="shared" si="203"/>
        <v>0</v>
      </c>
      <c r="V107" s="73">
        <f t="shared" si="203"/>
        <v>0</v>
      </c>
      <c r="W107" s="73">
        <f t="shared" si="203"/>
        <v>0</v>
      </c>
      <c r="X107" s="73">
        <f t="shared" si="203"/>
        <v>0</v>
      </c>
      <c r="Y107" s="71"/>
    </row>
    <row r="108" spans="1:25" s="87" customFormat="1" ht="78" hidden="1" customHeight="1">
      <c r="A108" s="76"/>
      <c r="B108" s="77" t="s">
        <v>191</v>
      </c>
      <c r="C108" s="78" t="s">
        <v>192</v>
      </c>
      <c r="D108" s="59">
        <f>SUM(D109:D111)</f>
        <v>0</v>
      </c>
      <c r="E108" s="59">
        <f t="shared" ref="E108:X108" si="204">SUM(E109:E111)</f>
        <v>0</v>
      </c>
      <c r="F108" s="60">
        <f t="shared" si="204"/>
        <v>0</v>
      </c>
      <c r="G108" s="59">
        <f t="shared" si="204"/>
        <v>0</v>
      </c>
      <c r="H108" s="59">
        <f t="shared" si="204"/>
        <v>0</v>
      </c>
      <c r="I108" s="59">
        <f t="shared" si="204"/>
        <v>0</v>
      </c>
      <c r="J108" s="59">
        <f t="shared" si="204"/>
        <v>0</v>
      </c>
      <c r="K108" s="59">
        <f t="shared" si="204"/>
        <v>0</v>
      </c>
      <c r="L108" s="59">
        <f t="shared" si="204"/>
        <v>0</v>
      </c>
      <c r="M108" s="59">
        <f t="shared" si="204"/>
        <v>0</v>
      </c>
      <c r="N108" s="59">
        <f t="shared" si="204"/>
        <v>0</v>
      </c>
      <c r="O108" s="59">
        <f t="shared" si="204"/>
        <v>0</v>
      </c>
      <c r="P108" s="59">
        <f t="shared" si="204"/>
        <v>0</v>
      </c>
      <c r="Q108" s="59">
        <f t="shared" si="204"/>
        <v>0</v>
      </c>
      <c r="R108" s="59">
        <f t="shared" si="204"/>
        <v>0</v>
      </c>
      <c r="S108" s="59">
        <f t="shared" si="204"/>
        <v>0</v>
      </c>
      <c r="T108" s="59">
        <f t="shared" si="204"/>
        <v>0</v>
      </c>
      <c r="U108" s="59">
        <f t="shared" si="204"/>
        <v>0</v>
      </c>
      <c r="V108" s="59">
        <f t="shared" si="204"/>
        <v>0</v>
      </c>
      <c r="W108" s="59">
        <f t="shared" si="204"/>
        <v>0</v>
      </c>
      <c r="X108" s="59">
        <f t="shared" si="204"/>
        <v>0</v>
      </c>
      <c r="Y108" s="76"/>
    </row>
    <row r="109" spans="1:25" s="3" customFormat="1" ht="42.75" hidden="1" customHeight="1">
      <c r="A109" s="80"/>
      <c r="B109" s="42" t="s">
        <v>250</v>
      </c>
      <c r="C109" s="81"/>
      <c r="D109" s="43">
        <f t="shared" ref="D109:D111" si="205">E109+J109+N109+O109+SUM(R109:V109)</f>
        <v>0</v>
      </c>
      <c r="E109" s="44">
        <f t="shared" ref="E109:E111" si="206">SUM(F109:I109)</f>
        <v>0</v>
      </c>
      <c r="F109" s="47"/>
      <c r="G109" s="48"/>
      <c r="H109" s="48"/>
      <c r="I109" s="48"/>
      <c r="J109" s="44">
        <f t="shared" ref="J109:J111" si="207">SUM(K109:M109)</f>
        <v>0</v>
      </c>
      <c r="K109" s="48"/>
      <c r="L109" s="48"/>
      <c r="M109" s="48"/>
      <c r="N109" s="48"/>
      <c r="O109" s="44">
        <f t="shared" ref="O109:O111" si="208">SUM(P109:Q109)</f>
        <v>0</v>
      </c>
      <c r="P109" s="48"/>
      <c r="Q109" s="48"/>
      <c r="R109" s="48"/>
      <c r="S109" s="48"/>
      <c r="T109" s="48"/>
      <c r="U109" s="48"/>
      <c r="V109" s="44">
        <f t="shared" ref="V109:V111" si="209">SUM(W109:X109)</f>
        <v>0</v>
      </c>
      <c r="W109" s="48"/>
      <c r="X109" s="48"/>
      <c r="Y109" s="80"/>
    </row>
    <row r="110" spans="1:25" s="3" customFormat="1" ht="42.75" hidden="1" customHeight="1">
      <c r="A110" s="80"/>
      <c r="B110" s="42" t="s">
        <v>251</v>
      </c>
      <c r="C110" s="81"/>
      <c r="D110" s="43">
        <f t="shared" si="205"/>
        <v>0</v>
      </c>
      <c r="E110" s="44">
        <f t="shared" si="206"/>
        <v>0</v>
      </c>
      <c r="F110" s="47"/>
      <c r="G110" s="48"/>
      <c r="H110" s="48"/>
      <c r="I110" s="48"/>
      <c r="J110" s="44">
        <f t="shared" si="207"/>
        <v>0</v>
      </c>
      <c r="K110" s="48"/>
      <c r="L110" s="48"/>
      <c r="M110" s="48"/>
      <c r="N110" s="48"/>
      <c r="O110" s="44">
        <f t="shared" si="208"/>
        <v>0</v>
      </c>
      <c r="P110" s="48"/>
      <c r="Q110" s="48"/>
      <c r="R110" s="48"/>
      <c r="S110" s="48"/>
      <c r="T110" s="48"/>
      <c r="U110" s="48"/>
      <c r="V110" s="44">
        <f t="shared" si="209"/>
        <v>0</v>
      </c>
      <c r="W110" s="48"/>
      <c r="X110" s="48"/>
      <c r="Y110" s="80"/>
    </row>
    <row r="111" spans="1:25" s="3" customFormat="1" ht="58.5" hidden="1" customHeight="1">
      <c r="A111" s="80"/>
      <c r="B111" s="42" t="s">
        <v>252</v>
      </c>
      <c r="C111" s="81"/>
      <c r="D111" s="43">
        <f t="shared" si="205"/>
        <v>0</v>
      </c>
      <c r="E111" s="44">
        <f t="shared" si="206"/>
        <v>0</v>
      </c>
      <c r="F111" s="47"/>
      <c r="G111" s="48"/>
      <c r="H111" s="48"/>
      <c r="I111" s="48"/>
      <c r="J111" s="44">
        <f t="shared" si="207"/>
        <v>0</v>
      </c>
      <c r="K111" s="48"/>
      <c r="L111" s="48"/>
      <c r="M111" s="48"/>
      <c r="N111" s="48"/>
      <c r="O111" s="44">
        <f t="shared" si="208"/>
        <v>0</v>
      </c>
      <c r="P111" s="48"/>
      <c r="Q111" s="48"/>
      <c r="R111" s="48"/>
      <c r="S111" s="48"/>
      <c r="T111" s="48"/>
      <c r="U111" s="48"/>
      <c r="V111" s="44">
        <f t="shared" si="209"/>
        <v>0</v>
      </c>
      <c r="W111" s="48"/>
      <c r="X111" s="48"/>
      <c r="Y111" s="80"/>
    </row>
    <row r="112" spans="1:25" s="32" customFormat="1" ht="22.5" customHeight="1">
      <c r="A112" s="31" t="s">
        <v>102</v>
      </c>
      <c r="B112" s="743" t="s">
        <v>253</v>
      </c>
      <c r="C112" s="744"/>
      <c r="D112" s="29">
        <f>D113+D120</f>
        <v>334</v>
      </c>
      <c r="E112" s="29">
        <f t="shared" ref="E112:X112" si="210">E113+E120</f>
        <v>0</v>
      </c>
      <c r="F112" s="30">
        <f t="shared" si="210"/>
        <v>0</v>
      </c>
      <c r="G112" s="29">
        <f t="shared" si="210"/>
        <v>0</v>
      </c>
      <c r="H112" s="29">
        <f t="shared" si="210"/>
        <v>0</v>
      </c>
      <c r="I112" s="29">
        <f t="shared" si="210"/>
        <v>0</v>
      </c>
      <c r="J112" s="29">
        <f t="shared" si="210"/>
        <v>0</v>
      </c>
      <c r="K112" s="29">
        <f t="shared" si="210"/>
        <v>0</v>
      </c>
      <c r="L112" s="29">
        <f t="shared" si="210"/>
        <v>0</v>
      </c>
      <c r="M112" s="29">
        <f t="shared" si="210"/>
        <v>0</v>
      </c>
      <c r="N112" s="29">
        <f t="shared" si="210"/>
        <v>0</v>
      </c>
      <c r="O112" s="29">
        <f t="shared" si="210"/>
        <v>0</v>
      </c>
      <c r="P112" s="29">
        <f t="shared" si="210"/>
        <v>0</v>
      </c>
      <c r="Q112" s="29">
        <f t="shared" si="210"/>
        <v>0</v>
      </c>
      <c r="R112" s="29">
        <f t="shared" si="210"/>
        <v>0</v>
      </c>
      <c r="S112" s="29">
        <f t="shared" si="210"/>
        <v>334</v>
      </c>
      <c r="T112" s="29">
        <f t="shared" si="210"/>
        <v>0</v>
      </c>
      <c r="U112" s="29">
        <f t="shared" si="210"/>
        <v>0</v>
      </c>
      <c r="V112" s="29">
        <f t="shared" si="210"/>
        <v>0</v>
      </c>
      <c r="W112" s="29">
        <f t="shared" si="210"/>
        <v>0</v>
      </c>
      <c r="X112" s="29">
        <f t="shared" si="210"/>
        <v>0</v>
      </c>
      <c r="Y112" s="31"/>
    </row>
    <row r="113" spans="1:25" s="75" customFormat="1" ht="28.5" hidden="1" customHeight="1">
      <c r="A113" s="71">
        <v>1</v>
      </c>
      <c r="B113" s="71" t="s">
        <v>223</v>
      </c>
      <c r="C113" s="72" t="s">
        <v>176</v>
      </c>
      <c r="D113" s="73">
        <f>D114+D117</f>
        <v>0</v>
      </c>
      <c r="E113" s="73">
        <f t="shared" ref="E113:X113" si="211">E114+E117</f>
        <v>0</v>
      </c>
      <c r="F113" s="74">
        <f t="shared" si="211"/>
        <v>0</v>
      </c>
      <c r="G113" s="73">
        <f t="shared" si="211"/>
        <v>0</v>
      </c>
      <c r="H113" s="73">
        <f t="shared" si="211"/>
        <v>0</v>
      </c>
      <c r="I113" s="73">
        <f t="shared" si="211"/>
        <v>0</v>
      </c>
      <c r="J113" s="73">
        <f t="shared" si="211"/>
        <v>0</v>
      </c>
      <c r="K113" s="73">
        <f t="shared" si="211"/>
        <v>0</v>
      </c>
      <c r="L113" s="73">
        <f t="shared" si="211"/>
        <v>0</v>
      </c>
      <c r="M113" s="73">
        <f t="shared" si="211"/>
        <v>0</v>
      </c>
      <c r="N113" s="73">
        <f t="shared" si="211"/>
        <v>0</v>
      </c>
      <c r="O113" s="73">
        <f t="shared" si="211"/>
        <v>0</v>
      </c>
      <c r="P113" s="73">
        <f t="shared" si="211"/>
        <v>0</v>
      </c>
      <c r="Q113" s="73">
        <f t="shared" si="211"/>
        <v>0</v>
      </c>
      <c r="R113" s="73">
        <f t="shared" si="211"/>
        <v>0</v>
      </c>
      <c r="S113" s="73">
        <f t="shared" si="211"/>
        <v>0</v>
      </c>
      <c r="T113" s="73">
        <f t="shared" si="211"/>
        <v>0</v>
      </c>
      <c r="U113" s="73">
        <f t="shared" si="211"/>
        <v>0</v>
      </c>
      <c r="V113" s="73">
        <f t="shared" si="211"/>
        <v>0</v>
      </c>
      <c r="W113" s="73">
        <f t="shared" si="211"/>
        <v>0</v>
      </c>
      <c r="X113" s="73">
        <f t="shared" si="211"/>
        <v>0</v>
      </c>
      <c r="Y113" s="71"/>
    </row>
    <row r="114" spans="1:25" s="79" customFormat="1" ht="75.75" hidden="1" customHeight="1">
      <c r="A114" s="76" t="s">
        <v>8</v>
      </c>
      <c r="B114" s="77" t="s">
        <v>183</v>
      </c>
      <c r="C114" s="78" t="s">
        <v>184</v>
      </c>
      <c r="D114" s="59">
        <f>SUM(D115:D116)</f>
        <v>0</v>
      </c>
      <c r="E114" s="59">
        <f t="shared" ref="E114:X114" si="212">SUM(E115:E116)</f>
        <v>0</v>
      </c>
      <c r="F114" s="60">
        <f t="shared" si="212"/>
        <v>0</v>
      </c>
      <c r="G114" s="59">
        <f t="shared" si="212"/>
        <v>0</v>
      </c>
      <c r="H114" s="59">
        <f t="shared" si="212"/>
        <v>0</v>
      </c>
      <c r="I114" s="59">
        <f t="shared" si="212"/>
        <v>0</v>
      </c>
      <c r="J114" s="59">
        <f t="shared" si="212"/>
        <v>0</v>
      </c>
      <c r="K114" s="59">
        <f t="shared" si="212"/>
        <v>0</v>
      </c>
      <c r="L114" s="59">
        <f t="shared" si="212"/>
        <v>0</v>
      </c>
      <c r="M114" s="59">
        <f t="shared" si="212"/>
        <v>0</v>
      </c>
      <c r="N114" s="59">
        <f t="shared" si="212"/>
        <v>0</v>
      </c>
      <c r="O114" s="59">
        <f t="shared" si="212"/>
        <v>0</v>
      </c>
      <c r="P114" s="59">
        <f t="shared" si="212"/>
        <v>0</v>
      </c>
      <c r="Q114" s="59">
        <f t="shared" si="212"/>
        <v>0</v>
      </c>
      <c r="R114" s="59">
        <f t="shared" si="212"/>
        <v>0</v>
      </c>
      <c r="S114" s="59">
        <f t="shared" si="212"/>
        <v>0</v>
      </c>
      <c r="T114" s="59">
        <f t="shared" si="212"/>
        <v>0</v>
      </c>
      <c r="U114" s="59">
        <f t="shared" si="212"/>
        <v>0</v>
      </c>
      <c r="V114" s="59">
        <f t="shared" si="212"/>
        <v>0</v>
      </c>
      <c r="W114" s="59">
        <f t="shared" si="212"/>
        <v>0</v>
      </c>
      <c r="X114" s="59">
        <f t="shared" si="212"/>
        <v>0</v>
      </c>
      <c r="Y114" s="76"/>
    </row>
    <row r="115" spans="1:25" s="3" customFormat="1" ht="39.75" hidden="1" customHeight="1">
      <c r="A115" s="80"/>
      <c r="B115" s="42" t="s">
        <v>254</v>
      </c>
      <c r="C115" s="81"/>
      <c r="D115" s="43">
        <f t="shared" ref="D115:D116" si="213">E115+J115+N115+O115+SUM(R115:V115)</f>
        <v>0</v>
      </c>
      <c r="E115" s="44">
        <f t="shared" ref="E115:E116" si="214">SUM(F115:I115)</f>
        <v>0</v>
      </c>
      <c r="F115" s="47"/>
      <c r="G115" s="48"/>
      <c r="H115" s="48"/>
      <c r="I115" s="48"/>
      <c r="J115" s="44">
        <f t="shared" ref="J115:J116" si="215">SUM(K115:M115)</f>
        <v>0</v>
      </c>
      <c r="K115" s="48"/>
      <c r="L115" s="48"/>
      <c r="M115" s="48"/>
      <c r="N115" s="48"/>
      <c r="O115" s="44">
        <f t="shared" ref="O115:O116" si="216">SUM(P115:Q115)</f>
        <v>0</v>
      </c>
      <c r="P115" s="48"/>
      <c r="Q115" s="48"/>
      <c r="R115" s="48"/>
      <c r="S115" s="48"/>
      <c r="T115" s="48"/>
      <c r="U115" s="48"/>
      <c r="V115" s="44">
        <f t="shared" ref="V115:V116" si="217">SUM(W115:X115)</f>
        <v>0</v>
      </c>
      <c r="W115" s="48"/>
      <c r="X115" s="48"/>
      <c r="Y115" s="80"/>
    </row>
    <row r="116" spans="1:25" s="3" customFormat="1" ht="39.75" hidden="1" customHeight="1">
      <c r="A116" s="80"/>
      <c r="B116" s="42" t="s">
        <v>255</v>
      </c>
      <c r="C116" s="81"/>
      <c r="D116" s="43">
        <f t="shared" si="213"/>
        <v>0</v>
      </c>
      <c r="E116" s="44">
        <f t="shared" si="214"/>
        <v>0</v>
      </c>
      <c r="F116" s="47"/>
      <c r="G116" s="48"/>
      <c r="H116" s="48"/>
      <c r="I116" s="48"/>
      <c r="J116" s="44">
        <f t="shared" si="215"/>
        <v>0</v>
      </c>
      <c r="K116" s="48"/>
      <c r="L116" s="48"/>
      <c r="M116" s="48"/>
      <c r="N116" s="48"/>
      <c r="O116" s="44">
        <f t="shared" si="216"/>
        <v>0</v>
      </c>
      <c r="P116" s="48"/>
      <c r="Q116" s="48"/>
      <c r="R116" s="48"/>
      <c r="S116" s="48"/>
      <c r="T116" s="48"/>
      <c r="U116" s="48"/>
      <c r="V116" s="44">
        <f t="shared" si="217"/>
        <v>0</v>
      </c>
      <c r="W116" s="48"/>
      <c r="X116" s="48"/>
      <c r="Y116" s="80"/>
    </row>
    <row r="117" spans="1:25" s="79" customFormat="1" ht="74.25" hidden="1" customHeight="1">
      <c r="A117" s="76" t="s">
        <v>9</v>
      </c>
      <c r="B117" s="77" t="s">
        <v>191</v>
      </c>
      <c r="C117" s="78" t="s">
        <v>192</v>
      </c>
      <c r="D117" s="59">
        <f>SUM(D118:D119)</f>
        <v>0</v>
      </c>
      <c r="E117" s="59">
        <f t="shared" ref="E117:X117" si="218">SUM(E118:E119)</f>
        <v>0</v>
      </c>
      <c r="F117" s="60">
        <f t="shared" si="218"/>
        <v>0</v>
      </c>
      <c r="G117" s="59">
        <f t="shared" si="218"/>
        <v>0</v>
      </c>
      <c r="H117" s="59">
        <f t="shared" si="218"/>
        <v>0</v>
      </c>
      <c r="I117" s="59">
        <f t="shared" si="218"/>
        <v>0</v>
      </c>
      <c r="J117" s="59">
        <f t="shared" si="218"/>
        <v>0</v>
      </c>
      <c r="K117" s="59">
        <f t="shared" si="218"/>
        <v>0</v>
      </c>
      <c r="L117" s="59">
        <f t="shared" si="218"/>
        <v>0</v>
      </c>
      <c r="M117" s="59">
        <f t="shared" si="218"/>
        <v>0</v>
      </c>
      <c r="N117" s="59">
        <f t="shared" si="218"/>
        <v>0</v>
      </c>
      <c r="O117" s="59">
        <f t="shared" si="218"/>
        <v>0</v>
      </c>
      <c r="P117" s="59">
        <f t="shared" si="218"/>
        <v>0</v>
      </c>
      <c r="Q117" s="59">
        <f t="shared" si="218"/>
        <v>0</v>
      </c>
      <c r="R117" s="59">
        <f t="shared" si="218"/>
        <v>0</v>
      </c>
      <c r="S117" s="59">
        <f t="shared" si="218"/>
        <v>0</v>
      </c>
      <c r="T117" s="59">
        <f t="shared" si="218"/>
        <v>0</v>
      </c>
      <c r="U117" s="59">
        <f t="shared" si="218"/>
        <v>0</v>
      </c>
      <c r="V117" s="59">
        <f t="shared" si="218"/>
        <v>0</v>
      </c>
      <c r="W117" s="59">
        <f t="shared" si="218"/>
        <v>0</v>
      </c>
      <c r="X117" s="59">
        <f t="shared" si="218"/>
        <v>0</v>
      </c>
      <c r="Y117" s="76"/>
    </row>
    <row r="118" spans="1:25" s="3" customFormat="1" ht="45.75" hidden="1" customHeight="1">
      <c r="A118" s="80"/>
      <c r="B118" s="42" t="s">
        <v>237</v>
      </c>
      <c r="C118" s="81"/>
      <c r="D118" s="43">
        <f t="shared" ref="D118:D119" si="219">E118+J118+N118+O118+SUM(R118:V118)</f>
        <v>0</v>
      </c>
      <c r="E118" s="44">
        <f t="shared" ref="E118:E119" si="220">SUM(F118:I118)</f>
        <v>0</v>
      </c>
      <c r="F118" s="47"/>
      <c r="G118" s="48"/>
      <c r="H118" s="48"/>
      <c r="I118" s="48"/>
      <c r="J118" s="44">
        <f t="shared" ref="J118:J119" si="221">SUM(K118:M118)</f>
        <v>0</v>
      </c>
      <c r="K118" s="48"/>
      <c r="L118" s="48"/>
      <c r="M118" s="48"/>
      <c r="N118" s="48"/>
      <c r="O118" s="44">
        <f t="shared" ref="O118:O119" si="222">SUM(P118:Q118)</f>
        <v>0</v>
      </c>
      <c r="P118" s="48"/>
      <c r="Q118" s="48"/>
      <c r="R118" s="48"/>
      <c r="S118" s="48"/>
      <c r="T118" s="48"/>
      <c r="U118" s="48"/>
      <c r="V118" s="44">
        <f t="shared" ref="V118:V119" si="223">SUM(W118:X118)</f>
        <v>0</v>
      </c>
      <c r="W118" s="48"/>
      <c r="X118" s="48"/>
      <c r="Y118" s="80"/>
    </row>
    <row r="119" spans="1:25" s="3" customFormat="1" ht="47.25" hidden="1" customHeight="1">
      <c r="A119" s="80"/>
      <c r="B119" s="42" t="s">
        <v>234</v>
      </c>
      <c r="C119" s="81"/>
      <c r="D119" s="43">
        <f t="shared" si="219"/>
        <v>0</v>
      </c>
      <c r="E119" s="44">
        <f t="shared" si="220"/>
        <v>0</v>
      </c>
      <c r="F119" s="47"/>
      <c r="G119" s="48"/>
      <c r="H119" s="48"/>
      <c r="I119" s="48"/>
      <c r="J119" s="44">
        <f t="shared" si="221"/>
        <v>0</v>
      </c>
      <c r="K119" s="48"/>
      <c r="L119" s="48"/>
      <c r="M119" s="48"/>
      <c r="N119" s="48"/>
      <c r="O119" s="44">
        <f t="shared" si="222"/>
        <v>0</v>
      </c>
      <c r="P119" s="48"/>
      <c r="Q119" s="48"/>
      <c r="R119" s="48"/>
      <c r="S119" s="48"/>
      <c r="T119" s="48"/>
      <c r="U119" s="48"/>
      <c r="V119" s="44">
        <f t="shared" si="223"/>
        <v>0</v>
      </c>
      <c r="W119" s="48"/>
      <c r="X119" s="48"/>
      <c r="Y119" s="80"/>
    </row>
    <row r="120" spans="1:25" s="75" customFormat="1" ht="22.5" customHeight="1">
      <c r="A120" s="71">
        <v>1</v>
      </c>
      <c r="B120" s="71" t="s">
        <v>240</v>
      </c>
      <c r="C120" s="72" t="s">
        <v>194</v>
      </c>
      <c r="D120" s="73">
        <f>D121</f>
        <v>334</v>
      </c>
      <c r="E120" s="73">
        <f t="shared" ref="E120:X120" si="224">E121</f>
        <v>0</v>
      </c>
      <c r="F120" s="74">
        <f t="shared" si="224"/>
        <v>0</v>
      </c>
      <c r="G120" s="73">
        <f t="shared" si="224"/>
        <v>0</v>
      </c>
      <c r="H120" s="73">
        <f t="shared" si="224"/>
        <v>0</v>
      </c>
      <c r="I120" s="73">
        <f t="shared" si="224"/>
        <v>0</v>
      </c>
      <c r="J120" s="73">
        <f t="shared" si="224"/>
        <v>0</v>
      </c>
      <c r="K120" s="73">
        <f t="shared" si="224"/>
        <v>0</v>
      </c>
      <c r="L120" s="73">
        <f t="shared" si="224"/>
        <v>0</v>
      </c>
      <c r="M120" s="73">
        <f t="shared" si="224"/>
        <v>0</v>
      </c>
      <c r="N120" s="73">
        <f t="shared" si="224"/>
        <v>0</v>
      </c>
      <c r="O120" s="73">
        <f t="shared" si="224"/>
        <v>0</v>
      </c>
      <c r="P120" s="73">
        <f t="shared" si="224"/>
        <v>0</v>
      </c>
      <c r="Q120" s="73">
        <f t="shared" si="224"/>
        <v>0</v>
      </c>
      <c r="R120" s="73">
        <f t="shared" si="224"/>
        <v>0</v>
      </c>
      <c r="S120" s="73">
        <f t="shared" si="224"/>
        <v>334</v>
      </c>
      <c r="T120" s="73">
        <f t="shared" si="224"/>
        <v>0</v>
      </c>
      <c r="U120" s="73">
        <f t="shared" si="224"/>
        <v>0</v>
      </c>
      <c r="V120" s="73">
        <f t="shared" si="224"/>
        <v>0</v>
      </c>
      <c r="W120" s="73">
        <f t="shared" si="224"/>
        <v>0</v>
      </c>
      <c r="X120" s="73">
        <f t="shared" si="224"/>
        <v>0</v>
      </c>
      <c r="Y120" s="71"/>
    </row>
    <row r="121" spans="1:25" s="79" customFormat="1" ht="37.5" customHeight="1">
      <c r="A121" s="76" t="s">
        <v>8</v>
      </c>
      <c r="B121" s="77" t="s">
        <v>199</v>
      </c>
      <c r="C121" s="78" t="s">
        <v>200</v>
      </c>
      <c r="D121" s="59">
        <f>SUM(D122:D129)</f>
        <v>334</v>
      </c>
      <c r="E121" s="59">
        <f t="shared" ref="E121:X121" si="225">SUM(E122:E129)</f>
        <v>0</v>
      </c>
      <c r="F121" s="60">
        <f t="shared" si="225"/>
        <v>0</v>
      </c>
      <c r="G121" s="59">
        <f t="shared" si="225"/>
        <v>0</v>
      </c>
      <c r="H121" s="59">
        <f t="shared" si="225"/>
        <v>0</v>
      </c>
      <c r="I121" s="59">
        <f t="shared" si="225"/>
        <v>0</v>
      </c>
      <c r="J121" s="59">
        <f t="shared" si="225"/>
        <v>0</v>
      </c>
      <c r="K121" s="59">
        <f t="shared" si="225"/>
        <v>0</v>
      </c>
      <c r="L121" s="59">
        <f t="shared" si="225"/>
        <v>0</v>
      </c>
      <c r="M121" s="59">
        <f t="shared" si="225"/>
        <v>0</v>
      </c>
      <c r="N121" s="59">
        <f t="shared" si="225"/>
        <v>0</v>
      </c>
      <c r="O121" s="59">
        <f t="shared" si="225"/>
        <v>0</v>
      </c>
      <c r="P121" s="59">
        <f t="shared" si="225"/>
        <v>0</v>
      </c>
      <c r="Q121" s="59">
        <f t="shared" si="225"/>
        <v>0</v>
      </c>
      <c r="R121" s="59">
        <f t="shared" si="225"/>
        <v>0</v>
      </c>
      <c r="S121" s="59">
        <f t="shared" si="225"/>
        <v>334</v>
      </c>
      <c r="T121" s="59">
        <f t="shared" si="225"/>
        <v>0</v>
      </c>
      <c r="U121" s="59">
        <f t="shared" si="225"/>
        <v>0</v>
      </c>
      <c r="V121" s="59">
        <f t="shared" si="225"/>
        <v>0</v>
      </c>
      <c r="W121" s="59">
        <f t="shared" si="225"/>
        <v>0</v>
      </c>
      <c r="X121" s="59">
        <f t="shared" si="225"/>
        <v>0</v>
      </c>
      <c r="Y121" s="76"/>
    </row>
    <row r="122" spans="1:25" s="3" customFormat="1" ht="48.75" customHeight="1">
      <c r="A122" s="80"/>
      <c r="B122" s="42" t="s">
        <v>201</v>
      </c>
      <c r="C122" s="81"/>
      <c r="D122" s="43">
        <f t="shared" ref="D122:D129" si="226">E122+J122+N122+O122+SUM(R122:V122)</f>
        <v>38</v>
      </c>
      <c r="E122" s="44">
        <f t="shared" ref="E122:E129" si="227">SUM(F122:I122)</f>
        <v>0</v>
      </c>
      <c r="F122" s="45">
        <f>ROUND((F275*15%),-0.1)</f>
        <v>0</v>
      </c>
      <c r="G122" s="46">
        <f t="shared" ref="G122:I122" si="228">ROUND((G275*15%),-0.1)</f>
        <v>0</v>
      </c>
      <c r="H122" s="46">
        <f t="shared" si="228"/>
        <v>0</v>
      </c>
      <c r="I122" s="46">
        <f t="shared" si="228"/>
        <v>0</v>
      </c>
      <c r="J122" s="44">
        <f t="shared" ref="J122:J129" si="229">SUM(K122:M122)</f>
        <v>0</v>
      </c>
      <c r="K122" s="46">
        <f t="shared" ref="K122:N129" si="230">ROUND((K275*15%),-0.1)</f>
        <v>0</v>
      </c>
      <c r="L122" s="46">
        <f t="shared" si="230"/>
        <v>0</v>
      </c>
      <c r="M122" s="46">
        <f t="shared" si="230"/>
        <v>0</v>
      </c>
      <c r="N122" s="46">
        <f t="shared" si="230"/>
        <v>0</v>
      </c>
      <c r="O122" s="44">
        <f t="shared" ref="O122:O129" si="231">SUM(P122:Q122)</f>
        <v>0</v>
      </c>
      <c r="P122" s="46">
        <f t="shared" ref="P122:U129" si="232">ROUND((P275*15%),-0.1)</f>
        <v>0</v>
      </c>
      <c r="Q122" s="46">
        <f t="shared" si="232"/>
        <v>0</v>
      </c>
      <c r="R122" s="46">
        <f t="shared" si="232"/>
        <v>0</v>
      </c>
      <c r="S122" s="46">
        <f t="shared" si="232"/>
        <v>38</v>
      </c>
      <c r="T122" s="46">
        <f t="shared" si="232"/>
        <v>0</v>
      </c>
      <c r="U122" s="46">
        <f t="shared" si="232"/>
        <v>0</v>
      </c>
      <c r="V122" s="44">
        <f t="shared" ref="V122:V129" si="233">SUM(W122:X122)</f>
        <v>0</v>
      </c>
      <c r="W122" s="46">
        <f t="shared" ref="W122:X129" si="234">ROUND((W275*15%),-0.1)</f>
        <v>0</v>
      </c>
      <c r="X122" s="46">
        <f t="shared" si="234"/>
        <v>0</v>
      </c>
      <c r="Y122" s="80"/>
    </row>
    <row r="123" spans="1:25" s="3" customFormat="1" ht="45.75" customHeight="1">
      <c r="A123" s="80"/>
      <c r="B123" s="42" t="s">
        <v>202</v>
      </c>
      <c r="C123" s="81"/>
      <c r="D123" s="43">
        <f t="shared" si="226"/>
        <v>8</v>
      </c>
      <c r="E123" s="44">
        <f t="shared" si="227"/>
        <v>0</v>
      </c>
      <c r="F123" s="45">
        <f t="shared" ref="F123:I129" si="235">ROUND((F276*15%),-0.1)</f>
        <v>0</v>
      </c>
      <c r="G123" s="46">
        <f t="shared" si="235"/>
        <v>0</v>
      </c>
      <c r="H123" s="46">
        <f t="shared" si="235"/>
        <v>0</v>
      </c>
      <c r="I123" s="46">
        <f t="shared" si="235"/>
        <v>0</v>
      </c>
      <c r="J123" s="44">
        <f t="shared" si="229"/>
        <v>0</v>
      </c>
      <c r="K123" s="46">
        <f t="shared" si="230"/>
        <v>0</v>
      </c>
      <c r="L123" s="46">
        <f t="shared" si="230"/>
        <v>0</v>
      </c>
      <c r="M123" s="46">
        <f t="shared" si="230"/>
        <v>0</v>
      </c>
      <c r="N123" s="46">
        <f t="shared" si="230"/>
        <v>0</v>
      </c>
      <c r="O123" s="44">
        <f t="shared" si="231"/>
        <v>0</v>
      </c>
      <c r="P123" s="46">
        <f t="shared" si="232"/>
        <v>0</v>
      </c>
      <c r="Q123" s="46">
        <f t="shared" si="232"/>
        <v>0</v>
      </c>
      <c r="R123" s="46">
        <f t="shared" si="232"/>
        <v>0</v>
      </c>
      <c r="S123" s="46">
        <f t="shared" si="232"/>
        <v>8</v>
      </c>
      <c r="T123" s="46">
        <f t="shared" si="232"/>
        <v>0</v>
      </c>
      <c r="U123" s="46">
        <f t="shared" si="232"/>
        <v>0</v>
      </c>
      <c r="V123" s="44">
        <f t="shared" si="233"/>
        <v>0</v>
      </c>
      <c r="W123" s="46">
        <f t="shared" si="234"/>
        <v>0</v>
      </c>
      <c r="X123" s="46">
        <f t="shared" si="234"/>
        <v>0</v>
      </c>
      <c r="Y123" s="80"/>
    </row>
    <row r="124" spans="1:25" s="3" customFormat="1" ht="56.25" customHeight="1">
      <c r="A124" s="80"/>
      <c r="B124" s="42" t="s">
        <v>203</v>
      </c>
      <c r="C124" s="81"/>
      <c r="D124" s="43">
        <f t="shared" si="226"/>
        <v>45</v>
      </c>
      <c r="E124" s="44">
        <f t="shared" si="227"/>
        <v>0</v>
      </c>
      <c r="F124" s="45">
        <f t="shared" si="235"/>
        <v>0</v>
      </c>
      <c r="G124" s="46">
        <f t="shared" si="235"/>
        <v>0</v>
      </c>
      <c r="H124" s="46">
        <f t="shared" si="235"/>
        <v>0</v>
      </c>
      <c r="I124" s="46">
        <f t="shared" si="235"/>
        <v>0</v>
      </c>
      <c r="J124" s="44">
        <f t="shared" si="229"/>
        <v>0</v>
      </c>
      <c r="K124" s="46">
        <f t="shared" si="230"/>
        <v>0</v>
      </c>
      <c r="L124" s="46">
        <f t="shared" si="230"/>
        <v>0</v>
      </c>
      <c r="M124" s="46">
        <f t="shared" si="230"/>
        <v>0</v>
      </c>
      <c r="N124" s="46">
        <f t="shared" si="230"/>
        <v>0</v>
      </c>
      <c r="O124" s="44">
        <f t="shared" si="231"/>
        <v>0</v>
      </c>
      <c r="P124" s="46">
        <f t="shared" si="232"/>
        <v>0</v>
      </c>
      <c r="Q124" s="46">
        <f t="shared" si="232"/>
        <v>0</v>
      </c>
      <c r="R124" s="46">
        <f t="shared" si="232"/>
        <v>0</v>
      </c>
      <c r="S124" s="46">
        <f t="shared" si="232"/>
        <v>45</v>
      </c>
      <c r="T124" s="46">
        <f t="shared" si="232"/>
        <v>0</v>
      </c>
      <c r="U124" s="46">
        <f t="shared" si="232"/>
        <v>0</v>
      </c>
      <c r="V124" s="44">
        <f t="shared" si="233"/>
        <v>0</v>
      </c>
      <c r="W124" s="46">
        <f t="shared" si="234"/>
        <v>0</v>
      </c>
      <c r="X124" s="46">
        <f t="shared" si="234"/>
        <v>0</v>
      </c>
      <c r="Y124" s="80"/>
    </row>
    <row r="125" spans="1:25" s="3" customFormat="1" ht="30.75" customHeight="1">
      <c r="A125" s="80"/>
      <c r="B125" s="42" t="s">
        <v>204</v>
      </c>
      <c r="C125" s="81"/>
      <c r="D125" s="43">
        <f t="shared" si="226"/>
        <v>60</v>
      </c>
      <c r="E125" s="44">
        <f t="shared" si="227"/>
        <v>0</v>
      </c>
      <c r="F125" s="45">
        <f t="shared" si="235"/>
        <v>0</v>
      </c>
      <c r="G125" s="46">
        <f t="shared" si="235"/>
        <v>0</v>
      </c>
      <c r="H125" s="46">
        <f t="shared" si="235"/>
        <v>0</v>
      </c>
      <c r="I125" s="46">
        <f t="shared" si="235"/>
        <v>0</v>
      </c>
      <c r="J125" s="44">
        <f t="shared" si="229"/>
        <v>0</v>
      </c>
      <c r="K125" s="46">
        <f t="shared" si="230"/>
        <v>0</v>
      </c>
      <c r="L125" s="46">
        <f t="shared" si="230"/>
        <v>0</v>
      </c>
      <c r="M125" s="46">
        <f t="shared" si="230"/>
        <v>0</v>
      </c>
      <c r="N125" s="46">
        <f t="shared" si="230"/>
        <v>0</v>
      </c>
      <c r="O125" s="44">
        <f t="shared" si="231"/>
        <v>0</v>
      </c>
      <c r="P125" s="46">
        <f t="shared" si="232"/>
        <v>0</v>
      </c>
      <c r="Q125" s="46">
        <f t="shared" si="232"/>
        <v>0</v>
      </c>
      <c r="R125" s="46">
        <f t="shared" si="232"/>
        <v>0</v>
      </c>
      <c r="S125" s="46">
        <f t="shared" si="232"/>
        <v>60</v>
      </c>
      <c r="T125" s="46">
        <f t="shared" si="232"/>
        <v>0</v>
      </c>
      <c r="U125" s="46">
        <f t="shared" si="232"/>
        <v>0</v>
      </c>
      <c r="V125" s="44">
        <f t="shared" si="233"/>
        <v>0</v>
      </c>
      <c r="W125" s="46">
        <f t="shared" si="234"/>
        <v>0</v>
      </c>
      <c r="X125" s="46">
        <f t="shared" si="234"/>
        <v>0</v>
      </c>
      <c r="Y125" s="80"/>
    </row>
    <row r="126" spans="1:25" s="3" customFormat="1" ht="42.75" customHeight="1">
      <c r="A126" s="80"/>
      <c r="B126" s="42" t="s">
        <v>205</v>
      </c>
      <c r="C126" s="81"/>
      <c r="D126" s="43">
        <f t="shared" si="226"/>
        <v>15</v>
      </c>
      <c r="E126" s="44">
        <f t="shared" si="227"/>
        <v>0</v>
      </c>
      <c r="F126" s="45">
        <f t="shared" si="235"/>
        <v>0</v>
      </c>
      <c r="G126" s="46">
        <f t="shared" si="235"/>
        <v>0</v>
      </c>
      <c r="H126" s="46">
        <f t="shared" si="235"/>
        <v>0</v>
      </c>
      <c r="I126" s="46">
        <f t="shared" si="235"/>
        <v>0</v>
      </c>
      <c r="J126" s="44">
        <f t="shared" si="229"/>
        <v>0</v>
      </c>
      <c r="K126" s="46">
        <f t="shared" si="230"/>
        <v>0</v>
      </c>
      <c r="L126" s="46">
        <f t="shared" si="230"/>
        <v>0</v>
      </c>
      <c r="M126" s="46">
        <f t="shared" si="230"/>
        <v>0</v>
      </c>
      <c r="N126" s="46">
        <f t="shared" si="230"/>
        <v>0</v>
      </c>
      <c r="O126" s="44">
        <f t="shared" si="231"/>
        <v>0</v>
      </c>
      <c r="P126" s="46">
        <f t="shared" si="232"/>
        <v>0</v>
      </c>
      <c r="Q126" s="46">
        <f t="shared" si="232"/>
        <v>0</v>
      </c>
      <c r="R126" s="46">
        <f t="shared" si="232"/>
        <v>0</v>
      </c>
      <c r="S126" s="46">
        <f t="shared" si="232"/>
        <v>15</v>
      </c>
      <c r="T126" s="46">
        <f t="shared" si="232"/>
        <v>0</v>
      </c>
      <c r="U126" s="46">
        <f t="shared" si="232"/>
        <v>0</v>
      </c>
      <c r="V126" s="44">
        <f t="shared" si="233"/>
        <v>0</v>
      </c>
      <c r="W126" s="46">
        <f t="shared" si="234"/>
        <v>0</v>
      </c>
      <c r="X126" s="46">
        <f t="shared" si="234"/>
        <v>0</v>
      </c>
      <c r="Y126" s="80"/>
    </row>
    <row r="127" spans="1:25" s="3" customFormat="1" ht="27" customHeight="1">
      <c r="A127" s="80"/>
      <c r="B127" s="42" t="s">
        <v>206</v>
      </c>
      <c r="C127" s="81"/>
      <c r="D127" s="43">
        <f t="shared" si="226"/>
        <v>108</v>
      </c>
      <c r="E127" s="44">
        <f t="shared" si="227"/>
        <v>0</v>
      </c>
      <c r="F127" s="45">
        <f t="shared" si="235"/>
        <v>0</v>
      </c>
      <c r="G127" s="46">
        <f t="shared" si="235"/>
        <v>0</v>
      </c>
      <c r="H127" s="46">
        <f t="shared" si="235"/>
        <v>0</v>
      </c>
      <c r="I127" s="46">
        <f t="shared" si="235"/>
        <v>0</v>
      </c>
      <c r="J127" s="44">
        <f t="shared" si="229"/>
        <v>0</v>
      </c>
      <c r="K127" s="46">
        <f t="shared" si="230"/>
        <v>0</v>
      </c>
      <c r="L127" s="46">
        <f t="shared" si="230"/>
        <v>0</v>
      </c>
      <c r="M127" s="46">
        <f t="shared" si="230"/>
        <v>0</v>
      </c>
      <c r="N127" s="46">
        <f t="shared" si="230"/>
        <v>0</v>
      </c>
      <c r="O127" s="44">
        <f t="shared" si="231"/>
        <v>0</v>
      </c>
      <c r="P127" s="46">
        <f t="shared" si="232"/>
        <v>0</v>
      </c>
      <c r="Q127" s="46">
        <f t="shared" si="232"/>
        <v>0</v>
      </c>
      <c r="R127" s="46">
        <f t="shared" si="232"/>
        <v>0</v>
      </c>
      <c r="S127" s="46">
        <f t="shared" si="232"/>
        <v>108</v>
      </c>
      <c r="T127" s="46">
        <f t="shared" si="232"/>
        <v>0</v>
      </c>
      <c r="U127" s="46">
        <f t="shared" si="232"/>
        <v>0</v>
      </c>
      <c r="V127" s="44">
        <f t="shared" si="233"/>
        <v>0</v>
      </c>
      <c r="W127" s="46">
        <f t="shared" si="234"/>
        <v>0</v>
      </c>
      <c r="X127" s="46">
        <f t="shared" si="234"/>
        <v>0</v>
      </c>
      <c r="Y127" s="80"/>
    </row>
    <row r="128" spans="1:25" s="3" customFormat="1" ht="59.25" customHeight="1">
      <c r="A128" s="80"/>
      <c r="B128" s="42" t="s">
        <v>207</v>
      </c>
      <c r="C128" s="81"/>
      <c r="D128" s="43">
        <f t="shared" si="226"/>
        <v>15</v>
      </c>
      <c r="E128" s="44">
        <f t="shared" si="227"/>
        <v>0</v>
      </c>
      <c r="F128" s="45">
        <f t="shared" si="235"/>
        <v>0</v>
      </c>
      <c r="G128" s="46">
        <f t="shared" si="235"/>
        <v>0</v>
      </c>
      <c r="H128" s="46">
        <f t="shared" si="235"/>
        <v>0</v>
      </c>
      <c r="I128" s="46">
        <f t="shared" si="235"/>
        <v>0</v>
      </c>
      <c r="J128" s="44">
        <f t="shared" si="229"/>
        <v>0</v>
      </c>
      <c r="K128" s="46">
        <f t="shared" si="230"/>
        <v>0</v>
      </c>
      <c r="L128" s="46">
        <f t="shared" si="230"/>
        <v>0</v>
      </c>
      <c r="M128" s="46">
        <f t="shared" si="230"/>
        <v>0</v>
      </c>
      <c r="N128" s="46">
        <f t="shared" si="230"/>
        <v>0</v>
      </c>
      <c r="O128" s="44">
        <f t="shared" si="231"/>
        <v>0</v>
      </c>
      <c r="P128" s="46">
        <f t="shared" si="232"/>
        <v>0</v>
      </c>
      <c r="Q128" s="46">
        <f t="shared" si="232"/>
        <v>0</v>
      </c>
      <c r="R128" s="46">
        <f t="shared" si="232"/>
        <v>0</v>
      </c>
      <c r="S128" s="46">
        <f t="shared" si="232"/>
        <v>15</v>
      </c>
      <c r="T128" s="46">
        <f t="shared" si="232"/>
        <v>0</v>
      </c>
      <c r="U128" s="46">
        <f t="shared" si="232"/>
        <v>0</v>
      </c>
      <c r="V128" s="44">
        <f t="shared" si="233"/>
        <v>0</v>
      </c>
      <c r="W128" s="46">
        <f t="shared" si="234"/>
        <v>0</v>
      </c>
      <c r="X128" s="46">
        <f t="shared" si="234"/>
        <v>0</v>
      </c>
      <c r="Y128" s="80"/>
    </row>
    <row r="129" spans="1:25" s="3" customFormat="1" ht="43.5" customHeight="1">
      <c r="A129" s="80"/>
      <c r="B129" s="42" t="s">
        <v>208</v>
      </c>
      <c r="C129" s="81"/>
      <c r="D129" s="43">
        <f t="shared" si="226"/>
        <v>45</v>
      </c>
      <c r="E129" s="44">
        <f t="shared" si="227"/>
        <v>0</v>
      </c>
      <c r="F129" s="45">
        <f t="shared" si="235"/>
        <v>0</v>
      </c>
      <c r="G129" s="46">
        <f t="shared" si="235"/>
        <v>0</v>
      </c>
      <c r="H129" s="46">
        <f t="shared" si="235"/>
        <v>0</v>
      </c>
      <c r="I129" s="46">
        <f t="shared" si="235"/>
        <v>0</v>
      </c>
      <c r="J129" s="44">
        <f t="shared" si="229"/>
        <v>0</v>
      </c>
      <c r="K129" s="46">
        <f t="shared" si="230"/>
        <v>0</v>
      </c>
      <c r="L129" s="46">
        <f t="shared" si="230"/>
        <v>0</v>
      </c>
      <c r="M129" s="46">
        <f t="shared" si="230"/>
        <v>0</v>
      </c>
      <c r="N129" s="46">
        <f t="shared" si="230"/>
        <v>0</v>
      </c>
      <c r="O129" s="44">
        <f t="shared" si="231"/>
        <v>0</v>
      </c>
      <c r="P129" s="46">
        <f t="shared" si="232"/>
        <v>0</v>
      </c>
      <c r="Q129" s="46">
        <f t="shared" si="232"/>
        <v>0</v>
      </c>
      <c r="R129" s="46">
        <f t="shared" si="232"/>
        <v>0</v>
      </c>
      <c r="S129" s="46">
        <f t="shared" si="232"/>
        <v>45</v>
      </c>
      <c r="T129" s="46">
        <f t="shared" si="232"/>
        <v>0</v>
      </c>
      <c r="U129" s="46">
        <f t="shared" si="232"/>
        <v>0</v>
      </c>
      <c r="V129" s="44">
        <f t="shared" si="233"/>
        <v>0</v>
      </c>
      <c r="W129" s="46">
        <f t="shared" si="234"/>
        <v>0</v>
      </c>
      <c r="X129" s="46">
        <f t="shared" si="234"/>
        <v>0</v>
      </c>
      <c r="Y129" s="80"/>
    </row>
    <row r="130" spans="1:25" s="32" customFormat="1" ht="37.5" hidden="1" customHeight="1">
      <c r="A130" s="31" t="s">
        <v>105</v>
      </c>
      <c r="B130" s="31" t="s">
        <v>256</v>
      </c>
      <c r="C130" s="28"/>
      <c r="D130" s="29">
        <f>D131</f>
        <v>0</v>
      </c>
      <c r="E130" s="29">
        <f t="shared" ref="E130:T132" si="236">E131</f>
        <v>0</v>
      </c>
      <c r="F130" s="30">
        <f t="shared" si="236"/>
        <v>0</v>
      </c>
      <c r="G130" s="29">
        <f t="shared" si="236"/>
        <v>0</v>
      </c>
      <c r="H130" s="29">
        <f t="shared" si="236"/>
        <v>0</v>
      </c>
      <c r="I130" s="29">
        <f t="shared" si="236"/>
        <v>0</v>
      </c>
      <c r="J130" s="29">
        <f t="shared" si="236"/>
        <v>0</v>
      </c>
      <c r="K130" s="29">
        <f t="shared" si="236"/>
        <v>0</v>
      </c>
      <c r="L130" s="29">
        <f t="shared" si="236"/>
        <v>0</v>
      </c>
      <c r="M130" s="29">
        <f t="shared" si="236"/>
        <v>0</v>
      </c>
      <c r="N130" s="29">
        <f t="shared" si="236"/>
        <v>0</v>
      </c>
      <c r="O130" s="29">
        <f t="shared" si="236"/>
        <v>0</v>
      </c>
      <c r="P130" s="29">
        <f t="shared" si="236"/>
        <v>0</v>
      </c>
      <c r="Q130" s="29">
        <f t="shared" si="236"/>
        <v>0</v>
      </c>
      <c r="R130" s="29">
        <f t="shared" si="236"/>
        <v>0</v>
      </c>
      <c r="S130" s="29">
        <f t="shared" si="236"/>
        <v>0</v>
      </c>
      <c r="T130" s="29">
        <f t="shared" si="236"/>
        <v>0</v>
      </c>
      <c r="U130" s="29">
        <f t="shared" ref="U130:X132" si="237">U131</f>
        <v>0</v>
      </c>
      <c r="V130" s="29">
        <f t="shared" si="237"/>
        <v>0</v>
      </c>
      <c r="W130" s="29">
        <f t="shared" si="237"/>
        <v>0</v>
      </c>
      <c r="X130" s="29">
        <f t="shared" si="237"/>
        <v>0</v>
      </c>
      <c r="Y130" s="31"/>
    </row>
    <row r="131" spans="1:25" s="75" customFormat="1" ht="36.75" hidden="1" customHeight="1">
      <c r="A131" s="71"/>
      <c r="B131" s="71" t="s">
        <v>223</v>
      </c>
      <c r="C131" s="72" t="s">
        <v>176</v>
      </c>
      <c r="D131" s="73">
        <f>D132</f>
        <v>0</v>
      </c>
      <c r="E131" s="73">
        <f t="shared" si="236"/>
        <v>0</v>
      </c>
      <c r="F131" s="74">
        <f t="shared" si="236"/>
        <v>0</v>
      </c>
      <c r="G131" s="73">
        <f t="shared" si="236"/>
        <v>0</v>
      </c>
      <c r="H131" s="73">
        <f t="shared" si="236"/>
        <v>0</v>
      </c>
      <c r="I131" s="73">
        <f t="shared" si="236"/>
        <v>0</v>
      </c>
      <c r="J131" s="73">
        <f t="shared" si="236"/>
        <v>0</v>
      </c>
      <c r="K131" s="73">
        <f t="shared" si="236"/>
        <v>0</v>
      </c>
      <c r="L131" s="73">
        <f t="shared" si="236"/>
        <v>0</v>
      </c>
      <c r="M131" s="73">
        <f t="shared" si="236"/>
        <v>0</v>
      </c>
      <c r="N131" s="73">
        <f t="shared" si="236"/>
        <v>0</v>
      </c>
      <c r="O131" s="73">
        <f t="shared" si="236"/>
        <v>0</v>
      </c>
      <c r="P131" s="73">
        <f t="shared" si="236"/>
        <v>0</v>
      </c>
      <c r="Q131" s="73">
        <f t="shared" si="236"/>
        <v>0</v>
      </c>
      <c r="R131" s="73">
        <f t="shared" si="236"/>
        <v>0</v>
      </c>
      <c r="S131" s="73">
        <f t="shared" si="236"/>
        <v>0</v>
      </c>
      <c r="T131" s="73">
        <f t="shared" si="236"/>
        <v>0</v>
      </c>
      <c r="U131" s="73">
        <f t="shared" si="237"/>
        <v>0</v>
      </c>
      <c r="V131" s="73">
        <f t="shared" si="237"/>
        <v>0</v>
      </c>
      <c r="W131" s="73">
        <f t="shared" si="237"/>
        <v>0</v>
      </c>
      <c r="X131" s="73">
        <f t="shared" si="237"/>
        <v>0</v>
      </c>
      <c r="Y131" s="71"/>
    </row>
    <row r="132" spans="1:25" s="87" customFormat="1" ht="69.75" hidden="1" customHeight="1">
      <c r="A132" s="76"/>
      <c r="B132" s="77" t="s">
        <v>191</v>
      </c>
      <c r="C132" s="78" t="s">
        <v>192</v>
      </c>
      <c r="D132" s="59">
        <f>D133</f>
        <v>0</v>
      </c>
      <c r="E132" s="59">
        <f t="shared" si="236"/>
        <v>0</v>
      </c>
      <c r="F132" s="60">
        <f t="shared" si="236"/>
        <v>0</v>
      </c>
      <c r="G132" s="59">
        <f t="shared" si="236"/>
        <v>0</v>
      </c>
      <c r="H132" s="59">
        <f t="shared" si="236"/>
        <v>0</v>
      </c>
      <c r="I132" s="59">
        <f t="shared" si="236"/>
        <v>0</v>
      </c>
      <c r="J132" s="59">
        <f t="shared" si="236"/>
        <v>0</v>
      </c>
      <c r="K132" s="59">
        <f t="shared" si="236"/>
        <v>0</v>
      </c>
      <c r="L132" s="59">
        <f t="shared" si="236"/>
        <v>0</v>
      </c>
      <c r="M132" s="59">
        <f t="shared" si="236"/>
        <v>0</v>
      </c>
      <c r="N132" s="59">
        <f t="shared" si="236"/>
        <v>0</v>
      </c>
      <c r="O132" s="59">
        <f t="shared" si="236"/>
        <v>0</v>
      </c>
      <c r="P132" s="59">
        <f t="shared" si="236"/>
        <v>0</v>
      </c>
      <c r="Q132" s="59">
        <f t="shared" si="236"/>
        <v>0</v>
      </c>
      <c r="R132" s="59">
        <f t="shared" si="236"/>
        <v>0</v>
      </c>
      <c r="S132" s="59">
        <f t="shared" si="236"/>
        <v>0</v>
      </c>
      <c r="T132" s="59">
        <f t="shared" si="236"/>
        <v>0</v>
      </c>
      <c r="U132" s="59">
        <f t="shared" si="237"/>
        <v>0</v>
      </c>
      <c r="V132" s="59">
        <f t="shared" si="237"/>
        <v>0</v>
      </c>
      <c r="W132" s="59">
        <f t="shared" si="237"/>
        <v>0</v>
      </c>
      <c r="X132" s="59">
        <f t="shared" si="237"/>
        <v>0</v>
      </c>
      <c r="Y132" s="76"/>
    </row>
    <row r="133" spans="1:25" s="3" customFormat="1" ht="47.25" hidden="1" customHeight="1">
      <c r="A133" s="80"/>
      <c r="B133" s="42" t="s">
        <v>237</v>
      </c>
      <c r="C133" s="81"/>
      <c r="D133" s="43">
        <f>E133+J133+N133+O133+SUM(R133:V133)</f>
        <v>0</v>
      </c>
      <c r="E133" s="44">
        <f>SUM(F133:I133)</f>
        <v>0</v>
      </c>
      <c r="F133" s="47"/>
      <c r="G133" s="48"/>
      <c r="H133" s="48"/>
      <c r="I133" s="48"/>
      <c r="J133" s="44">
        <f t="shared" ref="J133" si="238">SUM(K133:M133)</f>
        <v>0</v>
      </c>
      <c r="K133" s="48"/>
      <c r="L133" s="48"/>
      <c r="M133" s="48"/>
      <c r="N133" s="48"/>
      <c r="O133" s="44">
        <f t="shared" ref="O133" si="239">SUM(P133:Q133)</f>
        <v>0</v>
      </c>
      <c r="P133" s="48"/>
      <c r="Q133" s="48"/>
      <c r="R133" s="48"/>
      <c r="S133" s="48"/>
      <c r="T133" s="48"/>
      <c r="U133" s="48"/>
      <c r="V133" s="44">
        <f t="shared" ref="V133" si="240">SUM(W133:X133)</f>
        <v>0</v>
      </c>
      <c r="W133" s="48"/>
      <c r="X133" s="48"/>
      <c r="Y133" s="80"/>
    </row>
    <row r="134" spans="1:25" s="32" customFormat="1" ht="22.5" customHeight="1">
      <c r="A134" s="31" t="s">
        <v>103</v>
      </c>
      <c r="B134" s="743" t="s">
        <v>257</v>
      </c>
      <c r="C134" s="744"/>
      <c r="D134" s="29">
        <f>D135+D138</f>
        <v>521</v>
      </c>
      <c r="E134" s="29">
        <f t="shared" ref="E134:X134" si="241">E135+E138</f>
        <v>0</v>
      </c>
      <c r="F134" s="30">
        <f t="shared" si="241"/>
        <v>0</v>
      </c>
      <c r="G134" s="29">
        <f t="shared" si="241"/>
        <v>0</v>
      </c>
      <c r="H134" s="29">
        <f t="shared" si="241"/>
        <v>0</v>
      </c>
      <c r="I134" s="29">
        <f t="shared" si="241"/>
        <v>0</v>
      </c>
      <c r="J134" s="29">
        <f t="shared" si="241"/>
        <v>0</v>
      </c>
      <c r="K134" s="29">
        <f t="shared" si="241"/>
        <v>0</v>
      </c>
      <c r="L134" s="29">
        <f t="shared" si="241"/>
        <v>0</v>
      </c>
      <c r="M134" s="29">
        <f t="shared" si="241"/>
        <v>0</v>
      </c>
      <c r="N134" s="29">
        <f t="shared" si="241"/>
        <v>0</v>
      </c>
      <c r="O134" s="29">
        <f t="shared" si="241"/>
        <v>0</v>
      </c>
      <c r="P134" s="29">
        <f t="shared" si="241"/>
        <v>0</v>
      </c>
      <c r="Q134" s="29">
        <f t="shared" si="241"/>
        <v>0</v>
      </c>
      <c r="R134" s="29">
        <f t="shared" si="241"/>
        <v>0</v>
      </c>
      <c r="S134" s="29">
        <f t="shared" si="241"/>
        <v>521</v>
      </c>
      <c r="T134" s="29">
        <f t="shared" si="241"/>
        <v>0</v>
      </c>
      <c r="U134" s="29">
        <f t="shared" si="241"/>
        <v>0</v>
      </c>
      <c r="V134" s="29">
        <f t="shared" si="241"/>
        <v>0</v>
      </c>
      <c r="W134" s="29">
        <f t="shared" si="241"/>
        <v>0</v>
      </c>
      <c r="X134" s="29">
        <f t="shared" si="241"/>
        <v>0</v>
      </c>
      <c r="Y134" s="31"/>
    </row>
    <row r="135" spans="1:25" s="75" customFormat="1" ht="24.75" customHeight="1">
      <c r="A135" s="71">
        <v>1</v>
      </c>
      <c r="B135" s="71" t="s">
        <v>221</v>
      </c>
      <c r="C135" s="72" t="s">
        <v>159</v>
      </c>
      <c r="D135" s="73">
        <f>D136</f>
        <v>521</v>
      </c>
      <c r="E135" s="73">
        <f t="shared" ref="E135:T136" si="242">E136</f>
        <v>0</v>
      </c>
      <c r="F135" s="74">
        <f t="shared" si="242"/>
        <v>0</v>
      </c>
      <c r="G135" s="73">
        <f t="shared" si="242"/>
        <v>0</v>
      </c>
      <c r="H135" s="73">
        <f t="shared" si="242"/>
        <v>0</v>
      </c>
      <c r="I135" s="73">
        <f t="shared" si="242"/>
        <v>0</v>
      </c>
      <c r="J135" s="73">
        <f t="shared" si="242"/>
        <v>0</v>
      </c>
      <c r="K135" s="73">
        <f t="shared" si="242"/>
        <v>0</v>
      </c>
      <c r="L135" s="73">
        <f t="shared" si="242"/>
        <v>0</v>
      </c>
      <c r="M135" s="73">
        <f t="shared" si="242"/>
        <v>0</v>
      </c>
      <c r="N135" s="73">
        <f t="shared" si="242"/>
        <v>0</v>
      </c>
      <c r="O135" s="73">
        <f t="shared" si="242"/>
        <v>0</v>
      </c>
      <c r="P135" s="73">
        <f t="shared" si="242"/>
        <v>0</v>
      </c>
      <c r="Q135" s="73">
        <f t="shared" si="242"/>
        <v>0</v>
      </c>
      <c r="R135" s="73">
        <f t="shared" si="242"/>
        <v>0</v>
      </c>
      <c r="S135" s="73">
        <f t="shared" si="242"/>
        <v>521</v>
      </c>
      <c r="T135" s="73">
        <f t="shared" si="242"/>
        <v>0</v>
      </c>
      <c r="U135" s="73">
        <f t="shared" ref="U135:X136" si="243">U136</f>
        <v>0</v>
      </c>
      <c r="V135" s="73">
        <f t="shared" si="243"/>
        <v>0</v>
      </c>
      <c r="W135" s="73">
        <f t="shared" si="243"/>
        <v>0</v>
      </c>
      <c r="X135" s="73">
        <f t="shared" si="243"/>
        <v>0</v>
      </c>
      <c r="Y135" s="71"/>
    </row>
    <row r="136" spans="1:25" s="79" customFormat="1" ht="26.25" customHeight="1">
      <c r="A136" s="76" t="s">
        <v>8</v>
      </c>
      <c r="B136" s="77" t="s">
        <v>167</v>
      </c>
      <c r="C136" s="78" t="s">
        <v>168</v>
      </c>
      <c r="D136" s="59">
        <f>D137</f>
        <v>521</v>
      </c>
      <c r="E136" s="59">
        <f t="shared" si="242"/>
        <v>0</v>
      </c>
      <c r="F136" s="60">
        <f t="shared" si="242"/>
        <v>0</v>
      </c>
      <c r="G136" s="59">
        <f t="shared" si="242"/>
        <v>0</v>
      </c>
      <c r="H136" s="59">
        <f t="shared" si="242"/>
        <v>0</v>
      </c>
      <c r="I136" s="59">
        <f t="shared" si="242"/>
        <v>0</v>
      </c>
      <c r="J136" s="59">
        <f t="shared" si="242"/>
        <v>0</v>
      </c>
      <c r="K136" s="59">
        <f t="shared" si="242"/>
        <v>0</v>
      </c>
      <c r="L136" s="59">
        <f t="shared" si="242"/>
        <v>0</v>
      </c>
      <c r="M136" s="59">
        <f t="shared" si="242"/>
        <v>0</v>
      </c>
      <c r="N136" s="59">
        <f t="shared" si="242"/>
        <v>0</v>
      </c>
      <c r="O136" s="59">
        <f t="shared" si="242"/>
        <v>0</v>
      </c>
      <c r="P136" s="59">
        <f t="shared" si="242"/>
        <v>0</v>
      </c>
      <c r="Q136" s="59">
        <f t="shared" si="242"/>
        <v>0</v>
      </c>
      <c r="R136" s="59">
        <f t="shared" si="242"/>
        <v>0</v>
      </c>
      <c r="S136" s="59">
        <f t="shared" si="242"/>
        <v>521</v>
      </c>
      <c r="T136" s="59">
        <f t="shared" si="242"/>
        <v>0</v>
      </c>
      <c r="U136" s="59">
        <f t="shared" si="243"/>
        <v>0</v>
      </c>
      <c r="V136" s="59">
        <f t="shared" si="243"/>
        <v>0</v>
      </c>
      <c r="W136" s="59">
        <f t="shared" si="243"/>
        <v>0</v>
      </c>
      <c r="X136" s="59">
        <f t="shared" si="243"/>
        <v>0</v>
      </c>
      <c r="Y136" s="76"/>
    </row>
    <row r="137" spans="1:25" s="3" customFormat="1" ht="26.25" customHeight="1">
      <c r="A137" s="80"/>
      <c r="B137" s="42" t="s">
        <v>258</v>
      </c>
      <c r="C137" s="81"/>
      <c r="D137" s="43">
        <f>E137+J137+N137+O137+SUM(R137:V137)</f>
        <v>521</v>
      </c>
      <c r="E137" s="44">
        <f>SUM(F137:I137)</f>
        <v>0</v>
      </c>
      <c r="F137" s="45">
        <f>ROUND((F290*15%),-0.1)</f>
        <v>0</v>
      </c>
      <c r="G137" s="46">
        <f t="shared" ref="G137:X137" si="244">ROUND((G290*15%),-0.1)</f>
        <v>0</v>
      </c>
      <c r="H137" s="46">
        <f t="shared" si="244"/>
        <v>0</v>
      </c>
      <c r="I137" s="46">
        <f t="shared" si="244"/>
        <v>0</v>
      </c>
      <c r="J137" s="44">
        <f t="shared" ref="J137" si="245">SUM(K137:M137)</f>
        <v>0</v>
      </c>
      <c r="K137" s="46">
        <f t="shared" si="244"/>
        <v>0</v>
      </c>
      <c r="L137" s="46">
        <f t="shared" si="244"/>
        <v>0</v>
      </c>
      <c r="M137" s="46">
        <f t="shared" si="244"/>
        <v>0</v>
      </c>
      <c r="N137" s="46">
        <f t="shared" si="244"/>
        <v>0</v>
      </c>
      <c r="O137" s="44">
        <f t="shared" ref="O137" si="246">SUM(P137:Q137)</f>
        <v>0</v>
      </c>
      <c r="P137" s="46">
        <f t="shared" si="244"/>
        <v>0</v>
      </c>
      <c r="Q137" s="46">
        <f t="shared" si="244"/>
        <v>0</v>
      </c>
      <c r="R137" s="46">
        <f t="shared" si="244"/>
        <v>0</v>
      </c>
      <c r="S137" s="46">
        <f t="shared" si="244"/>
        <v>521</v>
      </c>
      <c r="T137" s="46">
        <f t="shared" si="244"/>
        <v>0</v>
      </c>
      <c r="U137" s="46">
        <f t="shared" si="244"/>
        <v>0</v>
      </c>
      <c r="V137" s="44">
        <f t="shared" ref="V137" si="247">SUM(W137:X137)</f>
        <v>0</v>
      </c>
      <c r="W137" s="46">
        <f t="shared" si="244"/>
        <v>0</v>
      </c>
      <c r="X137" s="46">
        <f t="shared" si="244"/>
        <v>0</v>
      </c>
      <c r="Y137" s="80"/>
    </row>
    <row r="138" spans="1:25" s="75" customFormat="1" ht="24" hidden="1" customHeight="1">
      <c r="A138" s="71">
        <v>2</v>
      </c>
      <c r="B138" s="71" t="s">
        <v>223</v>
      </c>
      <c r="C138" s="72" t="s">
        <v>176</v>
      </c>
      <c r="D138" s="73">
        <f>D139+D142</f>
        <v>0</v>
      </c>
      <c r="E138" s="73">
        <f t="shared" ref="E138:X138" si="248">E139+E142</f>
        <v>0</v>
      </c>
      <c r="F138" s="74">
        <f t="shared" si="248"/>
        <v>0</v>
      </c>
      <c r="G138" s="73">
        <f t="shared" si="248"/>
        <v>0</v>
      </c>
      <c r="H138" s="73">
        <f t="shared" si="248"/>
        <v>0</v>
      </c>
      <c r="I138" s="73">
        <f t="shared" si="248"/>
        <v>0</v>
      </c>
      <c r="J138" s="73">
        <f t="shared" si="248"/>
        <v>0</v>
      </c>
      <c r="K138" s="73">
        <f t="shared" si="248"/>
        <v>0</v>
      </c>
      <c r="L138" s="73">
        <f t="shared" si="248"/>
        <v>0</v>
      </c>
      <c r="M138" s="73">
        <f t="shared" si="248"/>
        <v>0</v>
      </c>
      <c r="N138" s="73">
        <f t="shared" si="248"/>
        <v>0</v>
      </c>
      <c r="O138" s="73">
        <f t="shared" si="248"/>
        <v>0</v>
      </c>
      <c r="P138" s="73">
        <f t="shared" si="248"/>
        <v>0</v>
      </c>
      <c r="Q138" s="73">
        <f t="shared" si="248"/>
        <v>0</v>
      </c>
      <c r="R138" s="73">
        <f t="shared" si="248"/>
        <v>0</v>
      </c>
      <c r="S138" s="73">
        <f t="shared" si="248"/>
        <v>0</v>
      </c>
      <c r="T138" s="73">
        <f t="shared" si="248"/>
        <v>0</v>
      </c>
      <c r="U138" s="73">
        <f t="shared" si="248"/>
        <v>0</v>
      </c>
      <c r="V138" s="73">
        <f t="shared" si="248"/>
        <v>0</v>
      </c>
      <c r="W138" s="73">
        <f t="shared" si="248"/>
        <v>0</v>
      </c>
      <c r="X138" s="73">
        <f t="shared" si="248"/>
        <v>0</v>
      </c>
      <c r="Y138" s="71"/>
    </row>
    <row r="139" spans="1:25" s="79" customFormat="1" ht="120" hidden="1">
      <c r="A139" s="76" t="s">
        <v>12</v>
      </c>
      <c r="B139" s="77" t="s">
        <v>187</v>
      </c>
      <c r="C139" s="78" t="s">
        <v>188</v>
      </c>
      <c r="D139" s="59">
        <f>SUM(D140:D141)</f>
        <v>0</v>
      </c>
      <c r="E139" s="59">
        <f t="shared" ref="E139:X139" si="249">SUM(E140:E141)</f>
        <v>0</v>
      </c>
      <c r="F139" s="60">
        <f t="shared" si="249"/>
        <v>0</v>
      </c>
      <c r="G139" s="59">
        <f t="shared" si="249"/>
        <v>0</v>
      </c>
      <c r="H139" s="59">
        <f t="shared" si="249"/>
        <v>0</v>
      </c>
      <c r="I139" s="59">
        <f t="shared" si="249"/>
        <v>0</v>
      </c>
      <c r="J139" s="59">
        <f t="shared" si="249"/>
        <v>0</v>
      </c>
      <c r="K139" s="59">
        <f t="shared" si="249"/>
        <v>0</v>
      </c>
      <c r="L139" s="59">
        <f t="shared" si="249"/>
        <v>0</v>
      </c>
      <c r="M139" s="59">
        <f t="shared" si="249"/>
        <v>0</v>
      </c>
      <c r="N139" s="59">
        <f t="shared" si="249"/>
        <v>0</v>
      </c>
      <c r="O139" s="59">
        <f t="shared" si="249"/>
        <v>0</v>
      </c>
      <c r="P139" s="59">
        <f t="shared" si="249"/>
        <v>0</v>
      </c>
      <c r="Q139" s="59">
        <f t="shared" si="249"/>
        <v>0</v>
      </c>
      <c r="R139" s="59">
        <f t="shared" si="249"/>
        <v>0</v>
      </c>
      <c r="S139" s="59">
        <f t="shared" si="249"/>
        <v>0</v>
      </c>
      <c r="T139" s="59">
        <f t="shared" si="249"/>
        <v>0</v>
      </c>
      <c r="U139" s="59">
        <f t="shared" si="249"/>
        <v>0</v>
      </c>
      <c r="V139" s="59">
        <f t="shared" si="249"/>
        <v>0</v>
      </c>
      <c r="W139" s="59">
        <f t="shared" si="249"/>
        <v>0</v>
      </c>
      <c r="X139" s="59">
        <f t="shared" si="249"/>
        <v>0</v>
      </c>
      <c r="Y139" s="76"/>
    </row>
    <row r="140" spans="1:25" s="3" customFormat="1" ht="126" hidden="1">
      <c r="A140" s="80"/>
      <c r="B140" s="42" t="s">
        <v>259</v>
      </c>
      <c r="C140" s="81"/>
      <c r="D140" s="43">
        <f t="shared" ref="D140:D141" si="250">E140+J140+N140+O140+SUM(R140:V140)</f>
        <v>0</v>
      </c>
      <c r="E140" s="44">
        <f t="shared" ref="E140:E141" si="251">SUM(F140:I140)</f>
        <v>0</v>
      </c>
      <c r="F140" s="47"/>
      <c r="G140" s="48"/>
      <c r="H140" s="48"/>
      <c r="I140" s="48"/>
      <c r="J140" s="44">
        <f t="shared" ref="J140:J141" si="252">SUM(K140:M140)</f>
        <v>0</v>
      </c>
      <c r="K140" s="48"/>
      <c r="L140" s="48"/>
      <c r="M140" s="48"/>
      <c r="N140" s="48"/>
      <c r="O140" s="44">
        <f t="shared" ref="O140:O141" si="253">SUM(P140:Q140)</f>
        <v>0</v>
      </c>
      <c r="P140" s="48"/>
      <c r="Q140" s="48"/>
      <c r="R140" s="48"/>
      <c r="S140" s="48"/>
      <c r="T140" s="48"/>
      <c r="U140" s="48"/>
      <c r="V140" s="44">
        <f t="shared" ref="V140:V141" si="254">SUM(W140:X140)</f>
        <v>0</v>
      </c>
      <c r="W140" s="48"/>
      <c r="X140" s="48"/>
      <c r="Y140" s="49" t="s">
        <v>260</v>
      </c>
    </row>
    <row r="141" spans="1:25" s="3" customFormat="1" ht="116.25" hidden="1" customHeight="1">
      <c r="A141" s="80"/>
      <c r="B141" s="49" t="s">
        <v>261</v>
      </c>
      <c r="C141" s="81"/>
      <c r="D141" s="43">
        <f t="shared" si="250"/>
        <v>0</v>
      </c>
      <c r="E141" s="44">
        <f t="shared" si="251"/>
        <v>0</v>
      </c>
      <c r="F141" s="47"/>
      <c r="G141" s="48"/>
      <c r="H141" s="48"/>
      <c r="I141" s="48"/>
      <c r="J141" s="44">
        <f t="shared" si="252"/>
        <v>0</v>
      </c>
      <c r="K141" s="48"/>
      <c r="L141" s="48"/>
      <c r="M141" s="48"/>
      <c r="N141" s="48"/>
      <c r="O141" s="44">
        <f t="shared" si="253"/>
        <v>0</v>
      </c>
      <c r="P141" s="48"/>
      <c r="Q141" s="48"/>
      <c r="R141" s="48"/>
      <c r="S141" s="48"/>
      <c r="T141" s="48"/>
      <c r="U141" s="48"/>
      <c r="V141" s="44">
        <f t="shared" si="254"/>
        <v>0</v>
      </c>
      <c r="W141" s="48"/>
      <c r="X141" s="48"/>
      <c r="Y141" s="49" t="s">
        <v>262</v>
      </c>
    </row>
    <row r="142" spans="1:25" s="79" customFormat="1" ht="73.5" hidden="1" customHeight="1">
      <c r="A142" s="76" t="s">
        <v>13</v>
      </c>
      <c r="B142" s="77" t="s">
        <v>191</v>
      </c>
      <c r="C142" s="78" t="s">
        <v>192</v>
      </c>
      <c r="D142" s="59">
        <f>D143</f>
        <v>0</v>
      </c>
      <c r="E142" s="59">
        <f t="shared" ref="E142:X142" si="255">E143</f>
        <v>0</v>
      </c>
      <c r="F142" s="60">
        <f t="shared" si="255"/>
        <v>0</v>
      </c>
      <c r="G142" s="59">
        <f t="shared" si="255"/>
        <v>0</v>
      </c>
      <c r="H142" s="59">
        <f t="shared" si="255"/>
        <v>0</v>
      </c>
      <c r="I142" s="59">
        <f t="shared" si="255"/>
        <v>0</v>
      </c>
      <c r="J142" s="59">
        <f t="shared" si="255"/>
        <v>0</v>
      </c>
      <c r="K142" s="59">
        <f t="shared" si="255"/>
        <v>0</v>
      </c>
      <c r="L142" s="59">
        <f t="shared" si="255"/>
        <v>0</v>
      </c>
      <c r="M142" s="59">
        <f t="shared" si="255"/>
        <v>0</v>
      </c>
      <c r="N142" s="59">
        <f t="shared" si="255"/>
        <v>0</v>
      </c>
      <c r="O142" s="59">
        <f t="shared" si="255"/>
        <v>0</v>
      </c>
      <c r="P142" s="59">
        <f t="shared" si="255"/>
        <v>0</v>
      </c>
      <c r="Q142" s="59">
        <f t="shared" si="255"/>
        <v>0</v>
      </c>
      <c r="R142" s="59">
        <f t="shared" si="255"/>
        <v>0</v>
      </c>
      <c r="S142" s="59">
        <f t="shared" si="255"/>
        <v>0</v>
      </c>
      <c r="T142" s="59">
        <f t="shared" si="255"/>
        <v>0</v>
      </c>
      <c r="U142" s="59">
        <f t="shared" si="255"/>
        <v>0</v>
      </c>
      <c r="V142" s="59">
        <f t="shared" si="255"/>
        <v>0</v>
      </c>
      <c r="W142" s="59">
        <f t="shared" si="255"/>
        <v>0</v>
      </c>
      <c r="X142" s="59">
        <f t="shared" si="255"/>
        <v>0</v>
      </c>
      <c r="Y142" s="76"/>
    </row>
    <row r="143" spans="1:25" s="3" customFormat="1" ht="46.5" hidden="1" customHeight="1">
      <c r="A143" s="80"/>
      <c r="B143" s="42" t="s">
        <v>263</v>
      </c>
      <c r="C143" s="81"/>
      <c r="D143" s="43">
        <f>E143+J143+N143+O143+SUM(R143:V143)</f>
        <v>0</v>
      </c>
      <c r="E143" s="44">
        <f>SUM(F143:I143)</f>
        <v>0</v>
      </c>
      <c r="F143" s="47"/>
      <c r="G143" s="48"/>
      <c r="H143" s="48"/>
      <c r="I143" s="48"/>
      <c r="J143" s="44">
        <f t="shared" ref="J143" si="256">SUM(K143:M143)</f>
        <v>0</v>
      </c>
      <c r="K143" s="48"/>
      <c r="L143" s="48"/>
      <c r="M143" s="48"/>
      <c r="N143" s="48"/>
      <c r="O143" s="44">
        <f t="shared" ref="O143" si="257">SUM(P143:Q143)</f>
        <v>0</v>
      </c>
      <c r="P143" s="48"/>
      <c r="Q143" s="48"/>
      <c r="R143" s="48"/>
      <c r="S143" s="48"/>
      <c r="T143" s="48"/>
      <c r="U143" s="48"/>
      <c r="V143" s="44">
        <f t="shared" ref="V143" si="258">SUM(W143:X143)</f>
        <v>0</v>
      </c>
      <c r="W143" s="48"/>
      <c r="X143" s="48"/>
      <c r="Y143" s="80"/>
    </row>
    <row r="144" spans="1:25" s="32" customFormat="1" ht="27" customHeight="1">
      <c r="A144" s="31" t="s">
        <v>104</v>
      </c>
      <c r="B144" s="743" t="s">
        <v>264</v>
      </c>
      <c r="C144" s="744"/>
      <c r="D144" s="29">
        <f>D145</f>
        <v>204</v>
      </c>
      <c r="E144" s="29">
        <f t="shared" ref="E144:X144" si="259">E145</f>
        <v>0</v>
      </c>
      <c r="F144" s="30">
        <f t="shared" si="259"/>
        <v>0</v>
      </c>
      <c r="G144" s="29">
        <f t="shared" si="259"/>
        <v>0</v>
      </c>
      <c r="H144" s="29">
        <f t="shared" si="259"/>
        <v>0</v>
      </c>
      <c r="I144" s="29">
        <f t="shared" si="259"/>
        <v>0</v>
      </c>
      <c r="J144" s="29">
        <f t="shared" si="259"/>
        <v>2</v>
      </c>
      <c r="K144" s="29">
        <f t="shared" si="259"/>
        <v>0</v>
      </c>
      <c r="L144" s="29">
        <f t="shared" si="259"/>
        <v>0</v>
      </c>
      <c r="M144" s="29">
        <f t="shared" si="259"/>
        <v>2</v>
      </c>
      <c r="N144" s="29">
        <f t="shared" si="259"/>
        <v>0</v>
      </c>
      <c r="O144" s="29">
        <f t="shared" si="259"/>
        <v>0</v>
      </c>
      <c r="P144" s="29">
        <f t="shared" si="259"/>
        <v>0</v>
      </c>
      <c r="Q144" s="29">
        <f t="shared" si="259"/>
        <v>0</v>
      </c>
      <c r="R144" s="29">
        <f t="shared" si="259"/>
        <v>0</v>
      </c>
      <c r="S144" s="29">
        <f t="shared" si="259"/>
        <v>15</v>
      </c>
      <c r="T144" s="29">
        <f t="shared" si="259"/>
        <v>0</v>
      </c>
      <c r="U144" s="29">
        <f t="shared" si="259"/>
        <v>187</v>
      </c>
      <c r="V144" s="29">
        <f t="shared" si="259"/>
        <v>0</v>
      </c>
      <c r="W144" s="29">
        <f t="shared" si="259"/>
        <v>0</v>
      </c>
      <c r="X144" s="29">
        <f t="shared" si="259"/>
        <v>0</v>
      </c>
      <c r="Y144" s="31"/>
    </row>
    <row r="145" spans="1:25" s="75" customFormat="1" ht="27" customHeight="1">
      <c r="A145" s="71"/>
      <c r="B145" s="100" t="s">
        <v>240</v>
      </c>
      <c r="C145" s="72" t="s">
        <v>194</v>
      </c>
      <c r="D145" s="73">
        <f>D146+D149</f>
        <v>204</v>
      </c>
      <c r="E145" s="73">
        <f t="shared" ref="E145:X145" si="260">E146+E149</f>
        <v>0</v>
      </c>
      <c r="F145" s="74">
        <f t="shared" si="260"/>
        <v>0</v>
      </c>
      <c r="G145" s="73">
        <f t="shared" si="260"/>
        <v>0</v>
      </c>
      <c r="H145" s="73">
        <f t="shared" si="260"/>
        <v>0</v>
      </c>
      <c r="I145" s="73">
        <f t="shared" si="260"/>
        <v>0</v>
      </c>
      <c r="J145" s="73">
        <f t="shared" si="260"/>
        <v>2</v>
      </c>
      <c r="K145" s="73">
        <f t="shared" si="260"/>
        <v>0</v>
      </c>
      <c r="L145" s="73">
        <f t="shared" si="260"/>
        <v>0</v>
      </c>
      <c r="M145" s="73">
        <f t="shared" si="260"/>
        <v>2</v>
      </c>
      <c r="N145" s="73">
        <f t="shared" si="260"/>
        <v>0</v>
      </c>
      <c r="O145" s="73">
        <f t="shared" si="260"/>
        <v>0</v>
      </c>
      <c r="P145" s="73">
        <f t="shared" si="260"/>
        <v>0</v>
      </c>
      <c r="Q145" s="73">
        <f t="shared" si="260"/>
        <v>0</v>
      </c>
      <c r="R145" s="73">
        <f t="shared" si="260"/>
        <v>0</v>
      </c>
      <c r="S145" s="73">
        <f t="shared" si="260"/>
        <v>15</v>
      </c>
      <c r="T145" s="73">
        <f t="shared" si="260"/>
        <v>0</v>
      </c>
      <c r="U145" s="73">
        <f t="shared" si="260"/>
        <v>187</v>
      </c>
      <c r="V145" s="73">
        <f t="shared" si="260"/>
        <v>0</v>
      </c>
      <c r="W145" s="73">
        <f t="shared" si="260"/>
        <v>0</v>
      </c>
      <c r="X145" s="73">
        <f t="shared" si="260"/>
        <v>0</v>
      </c>
      <c r="Y145" s="71"/>
    </row>
    <row r="146" spans="1:25" s="79" customFormat="1" ht="42" customHeight="1">
      <c r="A146" s="76">
        <v>1</v>
      </c>
      <c r="B146" s="77" t="s">
        <v>209</v>
      </c>
      <c r="C146" s="78" t="s">
        <v>210</v>
      </c>
      <c r="D146" s="59">
        <f>D147</f>
        <v>187</v>
      </c>
      <c r="E146" s="59">
        <f t="shared" ref="E146:T147" si="261">E147</f>
        <v>0</v>
      </c>
      <c r="F146" s="60">
        <f t="shared" si="261"/>
        <v>0</v>
      </c>
      <c r="G146" s="59">
        <f t="shared" si="261"/>
        <v>0</v>
      </c>
      <c r="H146" s="59">
        <f t="shared" si="261"/>
        <v>0</v>
      </c>
      <c r="I146" s="59">
        <f t="shared" si="261"/>
        <v>0</v>
      </c>
      <c r="J146" s="59">
        <f t="shared" si="261"/>
        <v>0</v>
      </c>
      <c r="K146" s="59">
        <f t="shared" si="261"/>
        <v>0</v>
      </c>
      <c r="L146" s="59">
        <f t="shared" si="261"/>
        <v>0</v>
      </c>
      <c r="M146" s="59">
        <f t="shared" si="261"/>
        <v>0</v>
      </c>
      <c r="N146" s="59">
        <f t="shared" si="261"/>
        <v>0</v>
      </c>
      <c r="O146" s="59">
        <f t="shared" si="261"/>
        <v>0</v>
      </c>
      <c r="P146" s="59">
        <f t="shared" si="261"/>
        <v>0</v>
      </c>
      <c r="Q146" s="59">
        <f t="shared" si="261"/>
        <v>0</v>
      </c>
      <c r="R146" s="59">
        <f t="shared" si="261"/>
        <v>0</v>
      </c>
      <c r="S146" s="59">
        <f t="shared" si="261"/>
        <v>0</v>
      </c>
      <c r="T146" s="59">
        <f t="shared" si="261"/>
        <v>0</v>
      </c>
      <c r="U146" s="59">
        <f t="shared" ref="U146:X147" si="262">U147</f>
        <v>187</v>
      </c>
      <c r="V146" s="59">
        <f t="shared" si="262"/>
        <v>0</v>
      </c>
      <c r="W146" s="59">
        <f t="shared" si="262"/>
        <v>0</v>
      </c>
      <c r="X146" s="59">
        <f t="shared" si="262"/>
        <v>0</v>
      </c>
      <c r="Y146" s="76"/>
    </row>
    <row r="147" spans="1:25" s="3" customFormat="1" ht="50.25" customHeight="1">
      <c r="A147" s="82"/>
      <c r="B147" s="83" t="s">
        <v>265</v>
      </c>
      <c r="C147" s="84"/>
      <c r="D147" s="43">
        <f>D148</f>
        <v>187</v>
      </c>
      <c r="E147" s="43">
        <f t="shared" si="261"/>
        <v>0</v>
      </c>
      <c r="F147" s="90">
        <f t="shared" si="261"/>
        <v>0</v>
      </c>
      <c r="G147" s="43">
        <f t="shared" si="261"/>
        <v>0</v>
      </c>
      <c r="H147" s="43">
        <f t="shared" si="261"/>
        <v>0</v>
      </c>
      <c r="I147" s="43">
        <f t="shared" si="261"/>
        <v>0</v>
      </c>
      <c r="J147" s="43">
        <f t="shared" si="261"/>
        <v>0</v>
      </c>
      <c r="K147" s="43">
        <f t="shared" si="261"/>
        <v>0</v>
      </c>
      <c r="L147" s="43">
        <f t="shared" si="261"/>
        <v>0</v>
      </c>
      <c r="M147" s="43">
        <f t="shared" si="261"/>
        <v>0</v>
      </c>
      <c r="N147" s="43">
        <f t="shared" si="261"/>
        <v>0</v>
      </c>
      <c r="O147" s="43">
        <f t="shared" si="261"/>
        <v>0</v>
      </c>
      <c r="P147" s="43">
        <f t="shared" si="261"/>
        <v>0</v>
      </c>
      <c r="Q147" s="43">
        <f t="shared" si="261"/>
        <v>0</v>
      </c>
      <c r="R147" s="43">
        <f t="shared" si="261"/>
        <v>0</v>
      </c>
      <c r="S147" s="43">
        <f t="shared" si="261"/>
        <v>0</v>
      </c>
      <c r="T147" s="43">
        <f t="shared" si="261"/>
        <v>0</v>
      </c>
      <c r="U147" s="43">
        <f t="shared" si="262"/>
        <v>187</v>
      </c>
      <c r="V147" s="43">
        <f t="shared" si="262"/>
        <v>0</v>
      </c>
      <c r="W147" s="43">
        <f t="shared" si="262"/>
        <v>0</v>
      </c>
      <c r="X147" s="43">
        <f t="shared" si="262"/>
        <v>0</v>
      </c>
      <c r="Y147" s="82"/>
    </row>
    <row r="148" spans="1:25" s="104" customFormat="1" ht="61.5" customHeight="1">
      <c r="A148" s="101"/>
      <c r="B148" s="102" t="s">
        <v>212</v>
      </c>
      <c r="C148" s="103"/>
      <c r="D148" s="93">
        <f>E148+J148+N148+O148+SUM(R148:V148)</f>
        <v>187</v>
      </c>
      <c r="E148" s="94">
        <f>SUM(F148:I148)</f>
        <v>0</v>
      </c>
      <c r="F148" s="95">
        <f>ROUND((F301*15%),-0.1)</f>
        <v>0</v>
      </c>
      <c r="G148" s="96">
        <f t="shared" ref="G148:X148" si="263">ROUND((G301*15%),-0.1)</f>
        <v>0</v>
      </c>
      <c r="H148" s="96">
        <f t="shared" si="263"/>
        <v>0</v>
      </c>
      <c r="I148" s="96">
        <f t="shared" si="263"/>
        <v>0</v>
      </c>
      <c r="J148" s="94">
        <f t="shared" ref="J148" si="264">SUM(K148:M148)</f>
        <v>0</v>
      </c>
      <c r="K148" s="96">
        <f t="shared" si="263"/>
        <v>0</v>
      </c>
      <c r="L148" s="96">
        <f t="shared" si="263"/>
        <v>0</v>
      </c>
      <c r="M148" s="96">
        <f t="shared" si="263"/>
        <v>0</v>
      </c>
      <c r="N148" s="96">
        <f t="shared" si="263"/>
        <v>0</v>
      </c>
      <c r="O148" s="94">
        <f t="shared" ref="O148" si="265">SUM(P148:Q148)</f>
        <v>0</v>
      </c>
      <c r="P148" s="96">
        <f t="shared" si="263"/>
        <v>0</v>
      </c>
      <c r="Q148" s="96">
        <f t="shared" si="263"/>
        <v>0</v>
      </c>
      <c r="R148" s="96">
        <f t="shared" si="263"/>
        <v>0</v>
      </c>
      <c r="S148" s="96">
        <f t="shared" si="263"/>
        <v>0</v>
      </c>
      <c r="T148" s="96">
        <f t="shared" si="263"/>
        <v>0</v>
      </c>
      <c r="U148" s="96">
        <f t="shared" si="263"/>
        <v>187</v>
      </c>
      <c r="V148" s="94">
        <f t="shared" ref="V148" si="266">SUM(W148:X148)</f>
        <v>0</v>
      </c>
      <c r="W148" s="96">
        <f t="shared" si="263"/>
        <v>0</v>
      </c>
      <c r="X148" s="96">
        <f t="shared" si="263"/>
        <v>0</v>
      </c>
      <c r="Y148" s="101"/>
    </row>
    <row r="149" spans="1:25" s="79" customFormat="1" ht="52.5" customHeight="1">
      <c r="A149" s="76">
        <v>2</v>
      </c>
      <c r="B149" s="77" t="s">
        <v>213</v>
      </c>
      <c r="C149" s="78" t="s">
        <v>214</v>
      </c>
      <c r="D149" s="59">
        <f>D150</f>
        <v>17</v>
      </c>
      <c r="E149" s="59">
        <f t="shared" ref="E149:T150" si="267">E150</f>
        <v>0</v>
      </c>
      <c r="F149" s="60">
        <f t="shared" si="267"/>
        <v>0</v>
      </c>
      <c r="G149" s="59">
        <f t="shared" si="267"/>
        <v>0</v>
      </c>
      <c r="H149" s="59">
        <f t="shared" si="267"/>
        <v>0</v>
      </c>
      <c r="I149" s="59">
        <f t="shared" si="267"/>
        <v>0</v>
      </c>
      <c r="J149" s="59">
        <f t="shared" si="267"/>
        <v>2</v>
      </c>
      <c r="K149" s="59">
        <f t="shared" si="267"/>
        <v>0</v>
      </c>
      <c r="L149" s="59">
        <f t="shared" si="267"/>
        <v>0</v>
      </c>
      <c r="M149" s="59">
        <f t="shared" si="267"/>
        <v>2</v>
      </c>
      <c r="N149" s="59">
        <f t="shared" si="267"/>
        <v>0</v>
      </c>
      <c r="O149" s="59">
        <f t="shared" si="267"/>
        <v>0</v>
      </c>
      <c r="P149" s="59">
        <f t="shared" si="267"/>
        <v>0</v>
      </c>
      <c r="Q149" s="59">
        <f t="shared" si="267"/>
        <v>0</v>
      </c>
      <c r="R149" s="59">
        <f t="shared" si="267"/>
        <v>0</v>
      </c>
      <c r="S149" s="59">
        <f t="shared" si="267"/>
        <v>15</v>
      </c>
      <c r="T149" s="59">
        <f t="shared" si="267"/>
        <v>0</v>
      </c>
      <c r="U149" s="59">
        <f t="shared" ref="U149:X150" si="268">U150</f>
        <v>0</v>
      </c>
      <c r="V149" s="59">
        <f t="shared" si="268"/>
        <v>0</v>
      </c>
      <c r="W149" s="59">
        <f t="shared" si="268"/>
        <v>0</v>
      </c>
      <c r="X149" s="59">
        <f t="shared" si="268"/>
        <v>0</v>
      </c>
      <c r="Y149" s="76"/>
    </row>
    <row r="150" spans="1:25" s="3" customFormat="1" ht="41.25" customHeight="1">
      <c r="A150" s="82"/>
      <c r="B150" s="83" t="s">
        <v>215</v>
      </c>
      <c r="C150" s="84"/>
      <c r="D150" s="43">
        <f>D151</f>
        <v>17</v>
      </c>
      <c r="E150" s="43">
        <f t="shared" si="267"/>
        <v>0</v>
      </c>
      <c r="F150" s="90">
        <f t="shared" si="267"/>
        <v>0</v>
      </c>
      <c r="G150" s="43">
        <f t="shared" si="267"/>
        <v>0</v>
      </c>
      <c r="H150" s="43">
        <f t="shared" si="267"/>
        <v>0</v>
      </c>
      <c r="I150" s="43">
        <f t="shared" si="267"/>
        <v>0</v>
      </c>
      <c r="J150" s="43">
        <f t="shared" si="267"/>
        <v>2</v>
      </c>
      <c r="K150" s="43">
        <f t="shared" si="267"/>
        <v>0</v>
      </c>
      <c r="L150" s="43">
        <f t="shared" si="267"/>
        <v>0</v>
      </c>
      <c r="M150" s="43">
        <f t="shared" si="267"/>
        <v>2</v>
      </c>
      <c r="N150" s="43">
        <f t="shared" si="267"/>
        <v>0</v>
      </c>
      <c r="O150" s="43">
        <f t="shared" si="267"/>
        <v>0</v>
      </c>
      <c r="P150" s="43">
        <f t="shared" si="267"/>
        <v>0</v>
      </c>
      <c r="Q150" s="43">
        <f t="shared" si="267"/>
        <v>0</v>
      </c>
      <c r="R150" s="43">
        <f t="shared" si="267"/>
        <v>0</v>
      </c>
      <c r="S150" s="43">
        <f t="shared" si="267"/>
        <v>15</v>
      </c>
      <c r="T150" s="43">
        <f t="shared" si="267"/>
        <v>0</v>
      </c>
      <c r="U150" s="43">
        <f t="shared" si="268"/>
        <v>0</v>
      </c>
      <c r="V150" s="43">
        <f t="shared" si="268"/>
        <v>0</v>
      </c>
      <c r="W150" s="43">
        <f t="shared" si="268"/>
        <v>0</v>
      </c>
      <c r="X150" s="43">
        <f t="shared" si="268"/>
        <v>0</v>
      </c>
      <c r="Y150" s="82"/>
    </row>
    <row r="151" spans="1:25" s="104" customFormat="1" ht="55.5" customHeight="1">
      <c r="A151" s="101"/>
      <c r="B151" s="102" t="s">
        <v>216</v>
      </c>
      <c r="C151" s="103"/>
      <c r="D151" s="93">
        <f>E151+J151+N151+O151+SUM(R151:V151)</f>
        <v>17</v>
      </c>
      <c r="E151" s="94">
        <f>SUM(F151:I151)</f>
        <v>0</v>
      </c>
      <c r="F151" s="95">
        <f>ROUND((F304*15%),-0.1)</f>
        <v>0</v>
      </c>
      <c r="G151" s="96">
        <f t="shared" ref="G151:X151" si="269">ROUND((G304*15%),-0.1)</f>
        <v>0</v>
      </c>
      <c r="H151" s="96">
        <f t="shared" si="269"/>
        <v>0</v>
      </c>
      <c r="I151" s="96">
        <f t="shared" si="269"/>
        <v>0</v>
      </c>
      <c r="J151" s="94">
        <f t="shared" ref="J151" si="270">SUM(K151:M151)</f>
        <v>2</v>
      </c>
      <c r="K151" s="96">
        <f t="shared" si="269"/>
        <v>0</v>
      </c>
      <c r="L151" s="96">
        <f t="shared" si="269"/>
        <v>0</v>
      </c>
      <c r="M151" s="96">
        <f t="shared" si="269"/>
        <v>2</v>
      </c>
      <c r="N151" s="96">
        <f t="shared" si="269"/>
        <v>0</v>
      </c>
      <c r="O151" s="94">
        <f t="shared" ref="O151" si="271">SUM(P151:Q151)</f>
        <v>0</v>
      </c>
      <c r="P151" s="96">
        <f t="shared" si="269"/>
        <v>0</v>
      </c>
      <c r="Q151" s="96">
        <f t="shared" si="269"/>
        <v>0</v>
      </c>
      <c r="R151" s="96">
        <f t="shared" si="269"/>
        <v>0</v>
      </c>
      <c r="S151" s="96">
        <f t="shared" si="269"/>
        <v>15</v>
      </c>
      <c r="T151" s="96">
        <f t="shared" si="269"/>
        <v>0</v>
      </c>
      <c r="U151" s="96">
        <f t="shared" si="269"/>
        <v>0</v>
      </c>
      <c r="V151" s="94">
        <f t="shared" ref="V151" si="272">SUM(W151:X151)</f>
        <v>0</v>
      </c>
      <c r="W151" s="96">
        <f t="shared" si="269"/>
        <v>0</v>
      </c>
      <c r="X151" s="96">
        <f t="shared" si="269"/>
        <v>0</v>
      </c>
      <c r="Y151" s="101"/>
    </row>
    <row r="152" spans="1:25" s="32" customFormat="1" ht="39" hidden="1" customHeight="1">
      <c r="A152" s="31" t="s">
        <v>266</v>
      </c>
      <c r="B152" s="31" t="s">
        <v>267</v>
      </c>
      <c r="C152" s="28"/>
      <c r="D152" s="29">
        <f>D153</f>
        <v>0</v>
      </c>
      <c r="E152" s="29">
        <f t="shared" ref="E152:T154" si="273">E153</f>
        <v>0</v>
      </c>
      <c r="F152" s="30">
        <f t="shared" si="273"/>
        <v>0</v>
      </c>
      <c r="G152" s="29">
        <f t="shared" si="273"/>
        <v>0</v>
      </c>
      <c r="H152" s="29">
        <f t="shared" si="273"/>
        <v>0</v>
      </c>
      <c r="I152" s="29">
        <f t="shared" si="273"/>
        <v>0</v>
      </c>
      <c r="J152" s="29">
        <f t="shared" si="273"/>
        <v>0</v>
      </c>
      <c r="K152" s="29">
        <f t="shared" si="273"/>
        <v>0</v>
      </c>
      <c r="L152" s="29">
        <f t="shared" si="273"/>
        <v>0</v>
      </c>
      <c r="M152" s="29">
        <f t="shared" si="273"/>
        <v>0</v>
      </c>
      <c r="N152" s="29">
        <f t="shared" si="273"/>
        <v>0</v>
      </c>
      <c r="O152" s="29">
        <f t="shared" si="273"/>
        <v>0</v>
      </c>
      <c r="P152" s="29">
        <f t="shared" si="273"/>
        <v>0</v>
      </c>
      <c r="Q152" s="29">
        <f t="shared" si="273"/>
        <v>0</v>
      </c>
      <c r="R152" s="29">
        <f t="shared" si="273"/>
        <v>0</v>
      </c>
      <c r="S152" s="29">
        <f t="shared" si="273"/>
        <v>0</v>
      </c>
      <c r="T152" s="29">
        <f t="shared" si="273"/>
        <v>0</v>
      </c>
      <c r="U152" s="29">
        <f t="shared" ref="U152:X154" si="274">U153</f>
        <v>0</v>
      </c>
      <c r="V152" s="29">
        <f t="shared" si="274"/>
        <v>0</v>
      </c>
      <c r="W152" s="29">
        <f t="shared" si="274"/>
        <v>0</v>
      </c>
      <c r="X152" s="29">
        <f t="shared" si="274"/>
        <v>0</v>
      </c>
      <c r="Y152" s="31"/>
    </row>
    <row r="153" spans="1:25" s="75" customFormat="1" ht="33.75" hidden="1" customHeight="1">
      <c r="A153" s="71">
        <v>1</v>
      </c>
      <c r="B153" s="71" t="s">
        <v>223</v>
      </c>
      <c r="C153" s="72" t="s">
        <v>176</v>
      </c>
      <c r="D153" s="73">
        <f>D154</f>
        <v>0</v>
      </c>
      <c r="E153" s="73">
        <f t="shared" si="273"/>
        <v>0</v>
      </c>
      <c r="F153" s="74">
        <f t="shared" si="273"/>
        <v>0</v>
      </c>
      <c r="G153" s="73">
        <f t="shared" si="273"/>
        <v>0</v>
      </c>
      <c r="H153" s="73">
        <f t="shared" si="273"/>
        <v>0</v>
      </c>
      <c r="I153" s="73">
        <f t="shared" si="273"/>
        <v>0</v>
      </c>
      <c r="J153" s="73">
        <f t="shared" si="273"/>
        <v>0</v>
      </c>
      <c r="K153" s="73">
        <f t="shared" si="273"/>
        <v>0</v>
      </c>
      <c r="L153" s="73">
        <f t="shared" si="273"/>
        <v>0</v>
      </c>
      <c r="M153" s="73">
        <f t="shared" si="273"/>
        <v>0</v>
      </c>
      <c r="N153" s="73">
        <f t="shared" si="273"/>
        <v>0</v>
      </c>
      <c r="O153" s="73">
        <f t="shared" si="273"/>
        <v>0</v>
      </c>
      <c r="P153" s="73">
        <f t="shared" si="273"/>
        <v>0</v>
      </c>
      <c r="Q153" s="73">
        <f t="shared" si="273"/>
        <v>0</v>
      </c>
      <c r="R153" s="73">
        <f t="shared" si="273"/>
        <v>0</v>
      </c>
      <c r="S153" s="73">
        <f t="shared" si="273"/>
        <v>0</v>
      </c>
      <c r="T153" s="73">
        <f t="shared" si="273"/>
        <v>0</v>
      </c>
      <c r="U153" s="73">
        <f t="shared" si="274"/>
        <v>0</v>
      </c>
      <c r="V153" s="73">
        <f t="shared" si="274"/>
        <v>0</v>
      </c>
      <c r="W153" s="73">
        <f t="shared" si="274"/>
        <v>0</v>
      </c>
      <c r="X153" s="73">
        <f t="shared" si="274"/>
        <v>0</v>
      </c>
      <c r="Y153" s="71"/>
    </row>
    <row r="154" spans="1:25" s="79" customFormat="1" ht="75" hidden="1" customHeight="1">
      <c r="A154" s="76"/>
      <c r="B154" s="77" t="s">
        <v>191</v>
      </c>
      <c r="C154" s="78" t="s">
        <v>192</v>
      </c>
      <c r="D154" s="59">
        <f>D155</f>
        <v>0</v>
      </c>
      <c r="E154" s="59">
        <f t="shared" si="273"/>
        <v>0</v>
      </c>
      <c r="F154" s="60">
        <f t="shared" si="273"/>
        <v>0</v>
      </c>
      <c r="G154" s="59">
        <f t="shared" si="273"/>
        <v>0</v>
      </c>
      <c r="H154" s="59">
        <f t="shared" si="273"/>
        <v>0</v>
      </c>
      <c r="I154" s="59">
        <f t="shared" si="273"/>
        <v>0</v>
      </c>
      <c r="J154" s="59">
        <f t="shared" si="273"/>
        <v>0</v>
      </c>
      <c r="K154" s="59">
        <f t="shared" si="273"/>
        <v>0</v>
      </c>
      <c r="L154" s="59">
        <f t="shared" si="273"/>
        <v>0</v>
      </c>
      <c r="M154" s="59">
        <f t="shared" si="273"/>
        <v>0</v>
      </c>
      <c r="N154" s="59">
        <f t="shared" si="273"/>
        <v>0</v>
      </c>
      <c r="O154" s="59">
        <f t="shared" si="273"/>
        <v>0</v>
      </c>
      <c r="P154" s="59">
        <f t="shared" si="273"/>
        <v>0</v>
      </c>
      <c r="Q154" s="59">
        <f t="shared" si="273"/>
        <v>0</v>
      </c>
      <c r="R154" s="59">
        <f t="shared" si="273"/>
        <v>0</v>
      </c>
      <c r="S154" s="59">
        <f t="shared" si="273"/>
        <v>0</v>
      </c>
      <c r="T154" s="59">
        <f t="shared" si="273"/>
        <v>0</v>
      </c>
      <c r="U154" s="59">
        <f t="shared" si="274"/>
        <v>0</v>
      </c>
      <c r="V154" s="59">
        <f t="shared" si="274"/>
        <v>0</v>
      </c>
      <c r="W154" s="59">
        <f t="shared" si="274"/>
        <v>0</v>
      </c>
      <c r="X154" s="59">
        <f t="shared" si="274"/>
        <v>0</v>
      </c>
      <c r="Y154" s="76"/>
    </row>
    <row r="155" spans="1:25" s="99" customFormat="1" ht="42" hidden="1" customHeight="1">
      <c r="A155" s="97"/>
      <c r="B155" s="42" t="s">
        <v>234</v>
      </c>
      <c r="C155" s="98"/>
      <c r="D155" s="43">
        <f>E155+J155+N155+O155+SUM(R155:V155)</f>
        <v>0</v>
      </c>
      <c r="E155" s="44">
        <f>SUM(F155:I155)</f>
        <v>0</v>
      </c>
      <c r="F155" s="47"/>
      <c r="G155" s="48"/>
      <c r="H155" s="48"/>
      <c r="I155" s="48"/>
      <c r="J155" s="44">
        <f t="shared" ref="J155" si="275">SUM(K155:M155)</f>
        <v>0</v>
      </c>
      <c r="K155" s="48"/>
      <c r="L155" s="48"/>
      <c r="M155" s="48"/>
      <c r="N155" s="48"/>
      <c r="O155" s="44">
        <f t="shared" ref="O155" si="276">SUM(P155:Q155)</f>
        <v>0</v>
      </c>
      <c r="P155" s="48"/>
      <c r="Q155" s="48"/>
      <c r="R155" s="48"/>
      <c r="S155" s="48"/>
      <c r="T155" s="48"/>
      <c r="U155" s="48"/>
      <c r="V155" s="44">
        <f t="shared" ref="V155" si="277">SUM(W155:X155)</f>
        <v>0</v>
      </c>
      <c r="W155" s="48"/>
      <c r="X155" s="48"/>
      <c r="Y155" s="97"/>
    </row>
    <row r="156" spans="1:25" s="32" customFormat="1" ht="41.25" hidden="1" customHeight="1">
      <c r="A156" s="31" t="s">
        <v>268</v>
      </c>
      <c r="B156" s="31" t="s">
        <v>269</v>
      </c>
      <c r="C156" s="28"/>
      <c r="D156" s="29">
        <f>D157</f>
        <v>0</v>
      </c>
      <c r="E156" s="29">
        <f t="shared" ref="E156:X156" si="278">E157</f>
        <v>0</v>
      </c>
      <c r="F156" s="30">
        <f t="shared" si="278"/>
        <v>0</v>
      </c>
      <c r="G156" s="29">
        <f t="shared" si="278"/>
        <v>0</v>
      </c>
      <c r="H156" s="29">
        <f t="shared" si="278"/>
        <v>0</v>
      </c>
      <c r="I156" s="29">
        <f t="shared" si="278"/>
        <v>0</v>
      </c>
      <c r="J156" s="29">
        <f t="shared" si="278"/>
        <v>0</v>
      </c>
      <c r="K156" s="29">
        <f t="shared" si="278"/>
        <v>0</v>
      </c>
      <c r="L156" s="29">
        <f t="shared" si="278"/>
        <v>0</v>
      </c>
      <c r="M156" s="29">
        <f t="shared" si="278"/>
        <v>0</v>
      </c>
      <c r="N156" s="29">
        <f t="shared" si="278"/>
        <v>0</v>
      </c>
      <c r="O156" s="29">
        <f t="shared" si="278"/>
        <v>0</v>
      </c>
      <c r="P156" s="29">
        <f t="shared" si="278"/>
        <v>0</v>
      </c>
      <c r="Q156" s="29">
        <f t="shared" si="278"/>
        <v>0</v>
      </c>
      <c r="R156" s="29">
        <f t="shared" si="278"/>
        <v>0</v>
      </c>
      <c r="S156" s="29">
        <f t="shared" si="278"/>
        <v>0</v>
      </c>
      <c r="T156" s="29">
        <f t="shared" si="278"/>
        <v>0</v>
      </c>
      <c r="U156" s="29">
        <f t="shared" si="278"/>
        <v>0</v>
      </c>
      <c r="V156" s="29">
        <f t="shared" si="278"/>
        <v>0</v>
      </c>
      <c r="W156" s="29">
        <f t="shared" si="278"/>
        <v>0</v>
      </c>
      <c r="X156" s="29">
        <f t="shared" si="278"/>
        <v>0</v>
      </c>
      <c r="Y156" s="31"/>
    </row>
    <row r="157" spans="1:25" s="75" customFormat="1" ht="33" hidden="1" customHeight="1">
      <c r="A157" s="71"/>
      <c r="B157" s="71" t="s">
        <v>223</v>
      </c>
      <c r="C157" s="72" t="s">
        <v>176</v>
      </c>
      <c r="D157" s="73">
        <f>D158+D161</f>
        <v>0</v>
      </c>
      <c r="E157" s="73">
        <f t="shared" ref="E157:X157" si="279">E158+E161</f>
        <v>0</v>
      </c>
      <c r="F157" s="74">
        <f t="shared" si="279"/>
        <v>0</v>
      </c>
      <c r="G157" s="73">
        <f t="shared" si="279"/>
        <v>0</v>
      </c>
      <c r="H157" s="73">
        <f t="shared" si="279"/>
        <v>0</v>
      </c>
      <c r="I157" s="73">
        <f t="shared" si="279"/>
        <v>0</v>
      </c>
      <c r="J157" s="73">
        <f t="shared" si="279"/>
        <v>0</v>
      </c>
      <c r="K157" s="73">
        <f t="shared" si="279"/>
        <v>0</v>
      </c>
      <c r="L157" s="73">
        <f t="shared" si="279"/>
        <v>0</v>
      </c>
      <c r="M157" s="73">
        <f t="shared" si="279"/>
        <v>0</v>
      </c>
      <c r="N157" s="73">
        <f t="shared" si="279"/>
        <v>0</v>
      </c>
      <c r="O157" s="73">
        <f t="shared" si="279"/>
        <v>0</v>
      </c>
      <c r="P157" s="73">
        <f t="shared" si="279"/>
        <v>0</v>
      </c>
      <c r="Q157" s="73">
        <f t="shared" si="279"/>
        <v>0</v>
      </c>
      <c r="R157" s="73">
        <f t="shared" si="279"/>
        <v>0</v>
      </c>
      <c r="S157" s="73">
        <f t="shared" si="279"/>
        <v>0</v>
      </c>
      <c r="T157" s="73">
        <f t="shared" si="279"/>
        <v>0</v>
      </c>
      <c r="U157" s="73">
        <f t="shared" si="279"/>
        <v>0</v>
      </c>
      <c r="V157" s="73">
        <f t="shared" si="279"/>
        <v>0</v>
      </c>
      <c r="W157" s="73">
        <f t="shared" si="279"/>
        <v>0</v>
      </c>
      <c r="X157" s="73">
        <f t="shared" si="279"/>
        <v>0</v>
      </c>
      <c r="Y157" s="71"/>
    </row>
    <row r="158" spans="1:25" s="79" customFormat="1" ht="90" hidden="1">
      <c r="A158" s="76">
        <v>1</v>
      </c>
      <c r="B158" s="77" t="s">
        <v>179</v>
      </c>
      <c r="C158" s="78" t="s">
        <v>180</v>
      </c>
      <c r="D158" s="59">
        <f>SUM(D159:D160)</f>
        <v>0</v>
      </c>
      <c r="E158" s="59">
        <f t="shared" ref="E158:X158" si="280">SUM(E159:E160)</f>
        <v>0</v>
      </c>
      <c r="F158" s="60">
        <f t="shared" si="280"/>
        <v>0</v>
      </c>
      <c r="G158" s="59">
        <f t="shared" si="280"/>
        <v>0</v>
      </c>
      <c r="H158" s="59">
        <f t="shared" si="280"/>
        <v>0</v>
      </c>
      <c r="I158" s="59">
        <f t="shared" si="280"/>
        <v>0</v>
      </c>
      <c r="J158" s="59">
        <f t="shared" si="280"/>
        <v>0</v>
      </c>
      <c r="K158" s="59">
        <f t="shared" si="280"/>
        <v>0</v>
      </c>
      <c r="L158" s="59">
        <f t="shared" si="280"/>
        <v>0</v>
      </c>
      <c r="M158" s="59">
        <f t="shared" si="280"/>
        <v>0</v>
      </c>
      <c r="N158" s="59">
        <f t="shared" si="280"/>
        <v>0</v>
      </c>
      <c r="O158" s="59">
        <f t="shared" si="280"/>
        <v>0</v>
      </c>
      <c r="P158" s="59">
        <f t="shared" si="280"/>
        <v>0</v>
      </c>
      <c r="Q158" s="59">
        <f t="shared" si="280"/>
        <v>0</v>
      </c>
      <c r="R158" s="59">
        <f t="shared" si="280"/>
        <v>0</v>
      </c>
      <c r="S158" s="59">
        <f t="shared" si="280"/>
        <v>0</v>
      </c>
      <c r="T158" s="59">
        <f t="shared" si="280"/>
        <v>0</v>
      </c>
      <c r="U158" s="59">
        <f t="shared" si="280"/>
        <v>0</v>
      </c>
      <c r="V158" s="59">
        <f t="shared" si="280"/>
        <v>0</v>
      </c>
      <c r="W158" s="59">
        <f t="shared" si="280"/>
        <v>0</v>
      </c>
      <c r="X158" s="59">
        <f t="shared" si="280"/>
        <v>0</v>
      </c>
      <c r="Y158" s="76"/>
    </row>
    <row r="159" spans="1:25" s="3" customFormat="1" ht="63" hidden="1">
      <c r="A159" s="80"/>
      <c r="B159" s="42" t="s">
        <v>270</v>
      </c>
      <c r="C159" s="81"/>
      <c r="D159" s="43">
        <f t="shared" ref="D159:D160" si="281">E159+J159+N159+O159+SUM(R159:V159)</f>
        <v>0</v>
      </c>
      <c r="E159" s="44">
        <f t="shared" ref="E159:E160" si="282">SUM(F159:I159)</f>
        <v>0</v>
      </c>
      <c r="F159" s="47"/>
      <c r="G159" s="48"/>
      <c r="H159" s="48"/>
      <c r="I159" s="48"/>
      <c r="J159" s="44">
        <f t="shared" ref="J159:J160" si="283">SUM(K159:M159)</f>
        <v>0</v>
      </c>
      <c r="K159" s="48"/>
      <c r="L159" s="48"/>
      <c r="M159" s="48"/>
      <c r="N159" s="48"/>
      <c r="O159" s="44">
        <f t="shared" ref="O159:O160" si="284">SUM(P159:Q159)</f>
        <v>0</v>
      </c>
      <c r="P159" s="48"/>
      <c r="Q159" s="48"/>
      <c r="R159" s="48"/>
      <c r="S159" s="48"/>
      <c r="T159" s="48"/>
      <c r="U159" s="48"/>
      <c r="V159" s="44">
        <f t="shared" ref="V159:V160" si="285">SUM(W159:X159)</f>
        <v>0</v>
      </c>
      <c r="W159" s="48"/>
      <c r="X159" s="48"/>
      <c r="Y159" s="83" t="s">
        <v>271</v>
      </c>
    </row>
    <row r="160" spans="1:25" s="3" customFormat="1" ht="15.75" hidden="1">
      <c r="A160" s="80"/>
      <c r="B160" s="42"/>
      <c r="C160" s="81"/>
      <c r="D160" s="43">
        <f t="shared" si="281"/>
        <v>0</v>
      </c>
      <c r="E160" s="44">
        <f t="shared" si="282"/>
        <v>0</v>
      </c>
      <c r="F160" s="47"/>
      <c r="G160" s="48"/>
      <c r="H160" s="48"/>
      <c r="I160" s="48"/>
      <c r="J160" s="44">
        <f t="shared" si="283"/>
        <v>0</v>
      </c>
      <c r="K160" s="48"/>
      <c r="L160" s="48"/>
      <c r="M160" s="48"/>
      <c r="N160" s="48"/>
      <c r="O160" s="44">
        <f t="shared" si="284"/>
        <v>0</v>
      </c>
      <c r="P160" s="48"/>
      <c r="Q160" s="48"/>
      <c r="R160" s="48"/>
      <c r="S160" s="48"/>
      <c r="T160" s="48"/>
      <c r="U160" s="48"/>
      <c r="V160" s="44">
        <f t="shared" si="285"/>
        <v>0</v>
      </c>
      <c r="W160" s="48"/>
      <c r="X160" s="48"/>
      <c r="Y160" s="80"/>
    </row>
    <row r="161" spans="1:25" s="79" customFormat="1" ht="77.25" hidden="1" customHeight="1">
      <c r="A161" s="76">
        <v>2</v>
      </c>
      <c r="B161" s="77" t="s">
        <v>191</v>
      </c>
      <c r="C161" s="78" t="s">
        <v>192</v>
      </c>
      <c r="D161" s="59">
        <f>SUM(D162:D163)</f>
        <v>0</v>
      </c>
      <c r="E161" s="59">
        <f t="shared" ref="E161:X161" si="286">SUM(E162:E163)</f>
        <v>0</v>
      </c>
      <c r="F161" s="60">
        <f t="shared" si="286"/>
        <v>0</v>
      </c>
      <c r="G161" s="59">
        <f t="shared" si="286"/>
        <v>0</v>
      </c>
      <c r="H161" s="59">
        <f t="shared" si="286"/>
        <v>0</v>
      </c>
      <c r="I161" s="59">
        <f t="shared" si="286"/>
        <v>0</v>
      </c>
      <c r="J161" s="59">
        <f t="shared" si="286"/>
        <v>0</v>
      </c>
      <c r="K161" s="59">
        <f t="shared" si="286"/>
        <v>0</v>
      </c>
      <c r="L161" s="59">
        <f t="shared" si="286"/>
        <v>0</v>
      </c>
      <c r="M161" s="59">
        <f t="shared" si="286"/>
        <v>0</v>
      </c>
      <c r="N161" s="59">
        <f t="shared" si="286"/>
        <v>0</v>
      </c>
      <c r="O161" s="59">
        <f t="shared" si="286"/>
        <v>0</v>
      </c>
      <c r="P161" s="59">
        <f t="shared" si="286"/>
        <v>0</v>
      </c>
      <c r="Q161" s="59">
        <f t="shared" si="286"/>
        <v>0</v>
      </c>
      <c r="R161" s="59">
        <f t="shared" si="286"/>
        <v>0</v>
      </c>
      <c r="S161" s="59">
        <f t="shared" si="286"/>
        <v>0</v>
      </c>
      <c r="T161" s="59">
        <f t="shared" si="286"/>
        <v>0</v>
      </c>
      <c r="U161" s="59">
        <f t="shared" si="286"/>
        <v>0</v>
      </c>
      <c r="V161" s="59">
        <f t="shared" si="286"/>
        <v>0</v>
      </c>
      <c r="W161" s="59">
        <f t="shared" si="286"/>
        <v>0</v>
      </c>
      <c r="X161" s="59">
        <f t="shared" si="286"/>
        <v>0</v>
      </c>
      <c r="Y161" s="76"/>
    </row>
    <row r="162" spans="1:25" s="3" customFormat="1" ht="54" hidden="1" customHeight="1">
      <c r="A162" s="80"/>
      <c r="B162" s="42" t="s">
        <v>237</v>
      </c>
      <c r="C162" s="81"/>
      <c r="D162" s="43">
        <f t="shared" ref="D162:D163" si="287">E162+J162+N162+O162+SUM(R162:V162)</f>
        <v>0</v>
      </c>
      <c r="E162" s="44">
        <f t="shared" ref="E162:E163" si="288">SUM(F162:I162)</f>
        <v>0</v>
      </c>
      <c r="F162" s="47"/>
      <c r="G162" s="48"/>
      <c r="H162" s="48"/>
      <c r="I162" s="48"/>
      <c r="J162" s="44">
        <f t="shared" ref="J162:J163" si="289">SUM(K162:M162)</f>
        <v>0</v>
      </c>
      <c r="K162" s="48"/>
      <c r="L162" s="48"/>
      <c r="M162" s="48"/>
      <c r="N162" s="48"/>
      <c r="O162" s="44">
        <f t="shared" ref="O162:O163" si="290">SUM(P162:Q162)</f>
        <v>0</v>
      </c>
      <c r="P162" s="48"/>
      <c r="Q162" s="48"/>
      <c r="R162" s="48"/>
      <c r="S162" s="48"/>
      <c r="T162" s="48"/>
      <c r="U162" s="48"/>
      <c r="V162" s="44">
        <f t="shared" ref="V162:V163" si="291">SUM(W162:X162)</f>
        <v>0</v>
      </c>
      <c r="W162" s="48"/>
      <c r="X162" s="48"/>
      <c r="Y162" s="80"/>
    </row>
    <row r="163" spans="1:25" s="3" customFormat="1" ht="45.75" hidden="1" customHeight="1">
      <c r="A163" s="80"/>
      <c r="B163" s="42" t="s">
        <v>234</v>
      </c>
      <c r="C163" s="81"/>
      <c r="D163" s="43">
        <f t="shared" si="287"/>
        <v>0</v>
      </c>
      <c r="E163" s="44">
        <f t="shared" si="288"/>
        <v>0</v>
      </c>
      <c r="F163" s="47"/>
      <c r="G163" s="48"/>
      <c r="H163" s="48"/>
      <c r="I163" s="48"/>
      <c r="J163" s="44">
        <f t="shared" si="289"/>
        <v>0</v>
      </c>
      <c r="K163" s="48"/>
      <c r="L163" s="48"/>
      <c r="M163" s="48"/>
      <c r="N163" s="48"/>
      <c r="O163" s="44">
        <f t="shared" si="290"/>
        <v>0</v>
      </c>
      <c r="P163" s="48"/>
      <c r="Q163" s="48"/>
      <c r="R163" s="48"/>
      <c r="S163" s="48"/>
      <c r="T163" s="48"/>
      <c r="U163" s="48"/>
      <c r="V163" s="44">
        <f t="shared" si="291"/>
        <v>0</v>
      </c>
      <c r="W163" s="48"/>
      <c r="X163" s="48"/>
      <c r="Y163" s="80"/>
    </row>
    <row r="164" spans="1:25" s="32" customFormat="1" ht="37.5" hidden="1" customHeight="1">
      <c r="A164" s="31" t="s">
        <v>272</v>
      </c>
      <c r="B164" s="31" t="s">
        <v>273</v>
      </c>
      <c r="C164" s="28"/>
      <c r="D164" s="29">
        <f>D165</f>
        <v>0</v>
      </c>
      <c r="E164" s="29">
        <f t="shared" ref="E164:T165" si="292">E165</f>
        <v>0</v>
      </c>
      <c r="F164" s="30">
        <f t="shared" si="292"/>
        <v>0</v>
      </c>
      <c r="G164" s="29">
        <f t="shared" si="292"/>
        <v>0</v>
      </c>
      <c r="H164" s="29">
        <f t="shared" si="292"/>
        <v>0</v>
      </c>
      <c r="I164" s="29">
        <f t="shared" si="292"/>
        <v>0</v>
      </c>
      <c r="J164" s="29">
        <f t="shared" si="292"/>
        <v>0</v>
      </c>
      <c r="K164" s="29">
        <f t="shared" si="292"/>
        <v>0</v>
      </c>
      <c r="L164" s="29">
        <f t="shared" si="292"/>
        <v>0</v>
      </c>
      <c r="M164" s="29">
        <f t="shared" si="292"/>
        <v>0</v>
      </c>
      <c r="N164" s="29">
        <f t="shared" si="292"/>
        <v>0</v>
      </c>
      <c r="O164" s="29">
        <f t="shared" si="292"/>
        <v>0</v>
      </c>
      <c r="P164" s="29">
        <f t="shared" si="292"/>
        <v>0</v>
      </c>
      <c r="Q164" s="29">
        <f t="shared" si="292"/>
        <v>0</v>
      </c>
      <c r="R164" s="29">
        <f t="shared" si="292"/>
        <v>0</v>
      </c>
      <c r="S164" s="29">
        <f t="shared" si="292"/>
        <v>0</v>
      </c>
      <c r="T164" s="29">
        <f t="shared" si="292"/>
        <v>0</v>
      </c>
      <c r="U164" s="29">
        <f t="shared" ref="U164:X165" si="293">U165</f>
        <v>0</v>
      </c>
      <c r="V164" s="29">
        <f t="shared" si="293"/>
        <v>0</v>
      </c>
      <c r="W164" s="29">
        <f t="shared" si="293"/>
        <v>0</v>
      </c>
      <c r="X164" s="29">
        <f t="shared" si="293"/>
        <v>0</v>
      </c>
      <c r="Y164" s="31"/>
    </row>
    <row r="165" spans="1:25" s="75" customFormat="1" ht="33.75" hidden="1" customHeight="1">
      <c r="A165" s="71"/>
      <c r="B165" s="71" t="s">
        <v>223</v>
      </c>
      <c r="C165" s="72" t="s">
        <v>176</v>
      </c>
      <c r="D165" s="73">
        <f>D166</f>
        <v>0</v>
      </c>
      <c r="E165" s="73">
        <f t="shared" si="292"/>
        <v>0</v>
      </c>
      <c r="F165" s="74">
        <f t="shared" si="292"/>
        <v>0</v>
      </c>
      <c r="G165" s="73">
        <f t="shared" si="292"/>
        <v>0</v>
      </c>
      <c r="H165" s="73">
        <f t="shared" si="292"/>
        <v>0</v>
      </c>
      <c r="I165" s="73">
        <f t="shared" si="292"/>
        <v>0</v>
      </c>
      <c r="J165" s="73">
        <f t="shared" si="292"/>
        <v>0</v>
      </c>
      <c r="K165" s="73">
        <f t="shared" si="292"/>
        <v>0</v>
      </c>
      <c r="L165" s="73">
        <f t="shared" si="292"/>
        <v>0</v>
      </c>
      <c r="M165" s="73">
        <f t="shared" si="292"/>
        <v>0</v>
      </c>
      <c r="N165" s="73">
        <f t="shared" si="292"/>
        <v>0</v>
      </c>
      <c r="O165" s="73">
        <f t="shared" si="292"/>
        <v>0</v>
      </c>
      <c r="P165" s="73">
        <f t="shared" si="292"/>
        <v>0</v>
      </c>
      <c r="Q165" s="73">
        <f t="shared" si="292"/>
        <v>0</v>
      </c>
      <c r="R165" s="73">
        <f t="shared" si="292"/>
        <v>0</v>
      </c>
      <c r="S165" s="73">
        <f t="shared" si="292"/>
        <v>0</v>
      </c>
      <c r="T165" s="73">
        <f t="shared" si="292"/>
        <v>0</v>
      </c>
      <c r="U165" s="73">
        <f t="shared" si="293"/>
        <v>0</v>
      </c>
      <c r="V165" s="73">
        <f t="shared" si="293"/>
        <v>0</v>
      </c>
      <c r="W165" s="73">
        <f t="shared" si="293"/>
        <v>0</v>
      </c>
      <c r="X165" s="73">
        <f t="shared" si="293"/>
        <v>0</v>
      </c>
      <c r="Y165" s="71"/>
    </row>
    <row r="166" spans="1:25" s="79" customFormat="1" ht="75" hidden="1" customHeight="1">
      <c r="A166" s="76"/>
      <c r="B166" s="77" t="s">
        <v>191</v>
      </c>
      <c r="C166" s="78" t="s">
        <v>192</v>
      </c>
      <c r="D166" s="59">
        <f>SUM(D167:D168)</f>
        <v>0</v>
      </c>
      <c r="E166" s="59">
        <f t="shared" ref="E166:X166" si="294">SUM(E167:E168)</f>
        <v>0</v>
      </c>
      <c r="F166" s="60">
        <f t="shared" si="294"/>
        <v>0</v>
      </c>
      <c r="G166" s="59">
        <f t="shared" si="294"/>
        <v>0</v>
      </c>
      <c r="H166" s="59">
        <f t="shared" si="294"/>
        <v>0</v>
      </c>
      <c r="I166" s="59">
        <f t="shared" si="294"/>
        <v>0</v>
      </c>
      <c r="J166" s="59">
        <f t="shared" si="294"/>
        <v>0</v>
      </c>
      <c r="K166" s="59">
        <f t="shared" si="294"/>
        <v>0</v>
      </c>
      <c r="L166" s="59">
        <f t="shared" si="294"/>
        <v>0</v>
      </c>
      <c r="M166" s="59">
        <f t="shared" si="294"/>
        <v>0</v>
      </c>
      <c r="N166" s="59">
        <f t="shared" si="294"/>
        <v>0</v>
      </c>
      <c r="O166" s="59">
        <f t="shared" si="294"/>
        <v>0</v>
      </c>
      <c r="P166" s="59">
        <f t="shared" si="294"/>
        <v>0</v>
      </c>
      <c r="Q166" s="59">
        <f t="shared" si="294"/>
        <v>0</v>
      </c>
      <c r="R166" s="59">
        <f t="shared" si="294"/>
        <v>0</v>
      </c>
      <c r="S166" s="59">
        <f t="shared" si="294"/>
        <v>0</v>
      </c>
      <c r="T166" s="59">
        <f t="shared" si="294"/>
        <v>0</v>
      </c>
      <c r="U166" s="59">
        <f t="shared" si="294"/>
        <v>0</v>
      </c>
      <c r="V166" s="59">
        <f t="shared" si="294"/>
        <v>0</v>
      </c>
      <c r="W166" s="59">
        <f t="shared" si="294"/>
        <v>0</v>
      </c>
      <c r="X166" s="59">
        <f t="shared" si="294"/>
        <v>0</v>
      </c>
      <c r="Y166" s="76"/>
    </row>
    <row r="167" spans="1:25" s="3" customFormat="1" ht="46.5" hidden="1" customHeight="1">
      <c r="A167" s="80"/>
      <c r="B167" s="42" t="s">
        <v>234</v>
      </c>
      <c r="C167" s="81"/>
      <c r="D167" s="43">
        <f t="shared" ref="D167:D168" si="295">E167+J167+N167+O167+SUM(R167:V167)</f>
        <v>0</v>
      </c>
      <c r="E167" s="44">
        <f>SUM(F167:I167)</f>
        <v>0</v>
      </c>
      <c r="F167" s="47"/>
      <c r="G167" s="48"/>
      <c r="H167" s="48"/>
      <c r="I167" s="48"/>
      <c r="J167" s="44">
        <f t="shared" ref="J167:J168" si="296">SUM(K167:M167)</f>
        <v>0</v>
      </c>
      <c r="K167" s="48"/>
      <c r="L167" s="48"/>
      <c r="M167" s="48"/>
      <c r="N167" s="48"/>
      <c r="O167" s="44">
        <f t="shared" ref="O167:O168" si="297">SUM(P167:Q167)</f>
        <v>0</v>
      </c>
      <c r="P167" s="48"/>
      <c r="Q167" s="48"/>
      <c r="R167" s="48"/>
      <c r="S167" s="48"/>
      <c r="T167" s="48"/>
      <c r="U167" s="48"/>
      <c r="V167" s="44">
        <f t="shared" ref="V167:V168" si="298">SUM(W167:X167)</f>
        <v>0</v>
      </c>
      <c r="W167" s="48"/>
      <c r="X167" s="48"/>
      <c r="Y167" s="80"/>
    </row>
    <row r="168" spans="1:25" s="3" customFormat="1" ht="15.75" hidden="1">
      <c r="A168" s="80"/>
      <c r="B168" s="42"/>
      <c r="C168" s="81"/>
      <c r="D168" s="43">
        <f t="shared" si="295"/>
        <v>0</v>
      </c>
      <c r="E168" s="44">
        <f t="shared" ref="E168" si="299">SUM(F168:I168)</f>
        <v>0</v>
      </c>
      <c r="F168" s="47"/>
      <c r="G168" s="48"/>
      <c r="H168" s="48"/>
      <c r="I168" s="48"/>
      <c r="J168" s="44">
        <f t="shared" si="296"/>
        <v>0</v>
      </c>
      <c r="K168" s="48"/>
      <c r="L168" s="48"/>
      <c r="M168" s="48"/>
      <c r="N168" s="48"/>
      <c r="O168" s="44">
        <f t="shared" si="297"/>
        <v>0</v>
      </c>
      <c r="P168" s="48"/>
      <c r="Q168" s="48"/>
      <c r="R168" s="48"/>
      <c r="S168" s="48"/>
      <c r="T168" s="48"/>
      <c r="U168" s="48"/>
      <c r="V168" s="44">
        <f t="shared" si="298"/>
        <v>0</v>
      </c>
      <c r="W168" s="48"/>
      <c r="X168" s="48"/>
      <c r="Y168" s="80"/>
    </row>
    <row r="169" spans="1:25" s="32" customFormat="1" ht="46.5" hidden="1" customHeight="1">
      <c r="A169" s="31" t="s">
        <v>274</v>
      </c>
      <c r="B169" s="31" t="s">
        <v>275</v>
      </c>
      <c r="C169" s="28"/>
      <c r="D169" s="29">
        <f>D170</f>
        <v>0</v>
      </c>
      <c r="E169" s="29">
        <f t="shared" ref="E169:T170" si="300">E170</f>
        <v>0</v>
      </c>
      <c r="F169" s="30">
        <f t="shared" si="300"/>
        <v>0</v>
      </c>
      <c r="G169" s="29">
        <f t="shared" si="300"/>
        <v>0</v>
      </c>
      <c r="H169" s="29">
        <f t="shared" si="300"/>
        <v>0</v>
      </c>
      <c r="I169" s="29">
        <f t="shared" si="300"/>
        <v>0</v>
      </c>
      <c r="J169" s="29">
        <f t="shared" si="300"/>
        <v>0</v>
      </c>
      <c r="K169" s="29">
        <f t="shared" si="300"/>
        <v>0</v>
      </c>
      <c r="L169" s="29">
        <f t="shared" si="300"/>
        <v>0</v>
      </c>
      <c r="M169" s="29">
        <f t="shared" si="300"/>
        <v>0</v>
      </c>
      <c r="N169" s="29">
        <f t="shared" si="300"/>
        <v>0</v>
      </c>
      <c r="O169" s="29">
        <f t="shared" si="300"/>
        <v>0</v>
      </c>
      <c r="P169" s="29">
        <f t="shared" si="300"/>
        <v>0</v>
      </c>
      <c r="Q169" s="29">
        <f t="shared" si="300"/>
        <v>0</v>
      </c>
      <c r="R169" s="29">
        <f t="shared" si="300"/>
        <v>0</v>
      </c>
      <c r="S169" s="29">
        <f t="shared" si="300"/>
        <v>0</v>
      </c>
      <c r="T169" s="29">
        <f t="shared" si="300"/>
        <v>0</v>
      </c>
      <c r="U169" s="29">
        <f t="shared" ref="U169:X170" si="301">U170</f>
        <v>0</v>
      </c>
      <c r="V169" s="29">
        <f t="shared" si="301"/>
        <v>0</v>
      </c>
      <c r="W169" s="29">
        <f t="shared" si="301"/>
        <v>0</v>
      </c>
      <c r="X169" s="29">
        <f t="shared" si="301"/>
        <v>0</v>
      </c>
      <c r="Y169" s="31"/>
    </row>
    <row r="170" spans="1:25" s="75" customFormat="1" ht="33" hidden="1" customHeight="1">
      <c r="A170" s="71"/>
      <c r="B170" s="71" t="s">
        <v>223</v>
      </c>
      <c r="C170" s="72" t="s">
        <v>176</v>
      </c>
      <c r="D170" s="73">
        <f>D171</f>
        <v>0</v>
      </c>
      <c r="E170" s="73">
        <f t="shared" si="300"/>
        <v>0</v>
      </c>
      <c r="F170" s="74">
        <f t="shared" si="300"/>
        <v>0</v>
      </c>
      <c r="G170" s="73">
        <f t="shared" si="300"/>
        <v>0</v>
      </c>
      <c r="H170" s="73">
        <f t="shared" si="300"/>
        <v>0</v>
      </c>
      <c r="I170" s="73">
        <f t="shared" si="300"/>
        <v>0</v>
      </c>
      <c r="J170" s="73">
        <f t="shared" si="300"/>
        <v>0</v>
      </c>
      <c r="K170" s="73">
        <f t="shared" si="300"/>
        <v>0</v>
      </c>
      <c r="L170" s="73">
        <f t="shared" si="300"/>
        <v>0</v>
      </c>
      <c r="M170" s="73">
        <f t="shared" si="300"/>
        <v>0</v>
      </c>
      <c r="N170" s="73">
        <f t="shared" si="300"/>
        <v>0</v>
      </c>
      <c r="O170" s="73">
        <f t="shared" si="300"/>
        <v>0</v>
      </c>
      <c r="P170" s="73">
        <f t="shared" si="300"/>
        <v>0</v>
      </c>
      <c r="Q170" s="73">
        <f t="shared" si="300"/>
        <v>0</v>
      </c>
      <c r="R170" s="73">
        <f t="shared" si="300"/>
        <v>0</v>
      </c>
      <c r="S170" s="73">
        <f t="shared" si="300"/>
        <v>0</v>
      </c>
      <c r="T170" s="73">
        <f t="shared" si="300"/>
        <v>0</v>
      </c>
      <c r="U170" s="73">
        <f t="shared" si="301"/>
        <v>0</v>
      </c>
      <c r="V170" s="73">
        <f t="shared" si="301"/>
        <v>0</v>
      </c>
      <c r="W170" s="73">
        <f t="shared" si="301"/>
        <v>0</v>
      </c>
      <c r="X170" s="73">
        <f t="shared" si="301"/>
        <v>0</v>
      </c>
      <c r="Y170" s="71"/>
    </row>
    <row r="171" spans="1:25" s="79" customFormat="1" ht="60.75" hidden="1" customHeight="1">
      <c r="A171" s="76"/>
      <c r="B171" s="77" t="s">
        <v>189</v>
      </c>
      <c r="C171" s="78" t="s">
        <v>190</v>
      </c>
      <c r="D171" s="59">
        <f>SUM(D172:D173)</f>
        <v>0</v>
      </c>
      <c r="E171" s="59">
        <f t="shared" ref="E171:X171" si="302">SUM(E172:E173)</f>
        <v>0</v>
      </c>
      <c r="F171" s="60">
        <f t="shared" si="302"/>
        <v>0</v>
      </c>
      <c r="G171" s="59">
        <f t="shared" si="302"/>
        <v>0</v>
      </c>
      <c r="H171" s="59">
        <f t="shared" si="302"/>
        <v>0</v>
      </c>
      <c r="I171" s="59">
        <f t="shared" si="302"/>
        <v>0</v>
      </c>
      <c r="J171" s="59">
        <f t="shared" si="302"/>
        <v>0</v>
      </c>
      <c r="K171" s="59">
        <f t="shared" si="302"/>
        <v>0</v>
      </c>
      <c r="L171" s="59">
        <f t="shared" si="302"/>
        <v>0</v>
      </c>
      <c r="M171" s="59">
        <f t="shared" si="302"/>
        <v>0</v>
      </c>
      <c r="N171" s="59">
        <f t="shared" si="302"/>
        <v>0</v>
      </c>
      <c r="O171" s="59">
        <f t="shared" si="302"/>
        <v>0</v>
      </c>
      <c r="P171" s="59">
        <f t="shared" si="302"/>
        <v>0</v>
      </c>
      <c r="Q171" s="59">
        <f t="shared" si="302"/>
        <v>0</v>
      </c>
      <c r="R171" s="59">
        <f t="shared" si="302"/>
        <v>0</v>
      </c>
      <c r="S171" s="59">
        <f t="shared" si="302"/>
        <v>0</v>
      </c>
      <c r="T171" s="59">
        <f t="shared" si="302"/>
        <v>0</v>
      </c>
      <c r="U171" s="59">
        <f t="shared" si="302"/>
        <v>0</v>
      </c>
      <c r="V171" s="59">
        <f t="shared" si="302"/>
        <v>0</v>
      </c>
      <c r="W171" s="59">
        <f t="shared" si="302"/>
        <v>0</v>
      </c>
      <c r="X171" s="59">
        <f t="shared" si="302"/>
        <v>0</v>
      </c>
      <c r="Y171" s="76"/>
    </row>
    <row r="172" spans="1:25" s="3" customFormat="1" ht="108.75" hidden="1" customHeight="1">
      <c r="A172" s="80"/>
      <c r="B172" s="49" t="s">
        <v>276</v>
      </c>
      <c r="C172" s="81"/>
      <c r="D172" s="43">
        <f t="shared" ref="D172:D173" si="303">E172+J172+N172+O172+SUM(R172:V172)</f>
        <v>0</v>
      </c>
      <c r="E172" s="44">
        <f t="shared" ref="E172:E173" si="304">SUM(F172:I172)</f>
        <v>0</v>
      </c>
      <c r="F172" s="47"/>
      <c r="G172" s="48"/>
      <c r="H172" s="48"/>
      <c r="I172" s="48"/>
      <c r="J172" s="44">
        <f t="shared" ref="J172:J173" si="305">SUM(K172:M172)</f>
        <v>0</v>
      </c>
      <c r="K172" s="48"/>
      <c r="L172" s="48"/>
      <c r="M172" s="48"/>
      <c r="N172" s="48"/>
      <c r="O172" s="44">
        <f t="shared" ref="O172:O173" si="306">SUM(P172:Q172)</f>
        <v>0</v>
      </c>
      <c r="P172" s="48"/>
      <c r="Q172" s="48"/>
      <c r="R172" s="48"/>
      <c r="S172" s="48"/>
      <c r="T172" s="48"/>
      <c r="U172" s="48"/>
      <c r="V172" s="44">
        <f t="shared" ref="V172:V173" si="307">SUM(W172:X172)</f>
        <v>0</v>
      </c>
      <c r="W172" s="48"/>
      <c r="X172" s="48"/>
      <c r="Y172" s="49" t="s">
        <v>277</v>
      </c>
    </row>
    <row r="173" spans="1:25" s="3" customFormat="1" ht="15.75" hidden="1">
      <c r="A173" s="80"/>
      <c r="B173" s="42"/>
      <c r="C173" s="81"/>
      <c r="D173" s="43">
        <f t="shared" si="303"/>
        <v>0</v>
      </c>
      <c r="E173" s="44">
        <f t="shared" si="304"/>
        <v>0</v>
      </c>
      <c r="F173" s="47"/>
      <c r="G173" s="48"/>
      <c r="H173" s="48"/>
      <c r="I173" s="48"/>
      <c r="J173" s="44">
        <f t="shared" si="305"/>
        <v>0</v>
      </c>
      <c r="K173" s="48"/>
      <c r="L173" s="48"/>
      <c r="M173" s="48"/>
      <c r="N173" s="48"/>
      <c r="O173" s="44">
        <f t="shared" si="306"/>
        <v>0</v>
      </c>
      <c r="P173" s="48"/>
      <c r="Q173" s="48"/>
      <c r="R173" s="48"/>
      <c r="S173" s="48"/>
      <c r="T173" s="48"/>
      <c r="U173" s="48"/>
      <c r="V173" s="44">
        <f t="shared" si="307"/>
        <v>0</v>
      </c>
      <c r="W173" s="48"/>
      <c r="X173" s="48"/>
      <c r="Y173" s="80"/>
    </row>
    <row r="174" spans="1:25" s="32" customFormat="1" ht="39" hidden="1" customHeight="1">
      <c r="A174" s="31" t="s">
        <v>278</v>
      </c>
      <c r="B174" s="31" t="s">
        <v>279</v>
      </c>
      <c r="C174" s="28"/>
      <c r="D174" s="29">
        <f>D175</f>
        <v>0</v>
      </c>
      <c r="E174" s="29">
        <f t="shared" ref="E174:T175" si="308">E175</f>
        <v>0</v>
      </c>
      <c r="F174" s="30">
        <f t="shared" si="308"/>
        <v>0</v>
      </c>
      <c r="G174" s="29">
        <f t="shared" si="308"/>
        <v>0</v>
      </c>
      <c r="H174" s="29">
        <f t="shared" si="308"/>
        <v>0</v>
      </c>
      <c r="I174" s="29">
        <f t="shared" si="308"/>
        <v>0</v>
      </c>
      <c r="J174" s="29">
        <f t="shared" si="308"/>
        <v>0</v>
      </c>
      <c r="K174" s="29">
        <f t="shared" si="308"/>
        <v>0</v>
      </c>
      <c r="L174" s="29">
        <f t="shared" si="308"/>
        <v>0</v>
      </c>
      <c r="M174" s="29">
        <f t="shared" si="308"/>
        <v>0</v>
      </c>
      <c r="N174" s="29">
        <f t="shared" si="308"/>
        <v>0</v>
      </c>
      <c r="O174" s="29">
        <f t="shared" si="308"/>
        <v>0</v>
      </c>
      <c r="P174" s="29">
        <f t="shared" si="308"/>
        <v>0</v>
      </c>
      <c r="Q174" s="29">
        <f t="shared" si="308"/>
        <v>0</v>
      </c>
      <c r="R174" s="29">
        <f t="shared" si="308"/>
        <v>0</v>
      </c>
      <c r="S174" s="29">
        <f t="shared" si="308"/>
        <v>0</v>
      </c>
      <c r="T174" s="29">
        <f t="shared" si="308"/>
        <v>0</v>
      </c>
      <c r="U174" s="29">
        <f t="shared" ref="U174:X175" si="309">U175</f>
        <v>0</v>
      </c>
      <c r="V174" s="29">
        <f t="shared" si="309"/>
        <v>0</v>
      </c>
      <c r="W174" s="29">
        <f t="shared" si="309"/>
        <v>0</v>
      </c>
      <c r="X174" s="29">
        <f t="shared" si="309"/>
        <v>0</v>
      </c>
      <c r="Y174" s="31"/>
    </row>
    <row r="175" spans="1:25" s="75" customFormat="1" ht="33" hidden="1" customHeight="1">
      <c r="A175" s="71"/>
      <c r="B175" s="71" t="s">
        <v>223</v>
      </c>
      <c r="C175" s="72" t="s">
        <v>176</v>
      </c>
      <c r="D175" s="73">
        <f>D176</f>
        <v>0</v>
      </c>
      <c r="E175" s="73">
        <f t="shared" si="308"/>
        <v>0</v>
      </c>
      <c r="F175" s="74">
        <f t="shared" si="308"/>
        <v>0</v>
      </c>
      <c r="G175" s="73">
        <f t="shared" si="308"/>
        <v>0</v>
      </c>
      <c r="H175" s="73">
        <f t="shared" si="308"/>
        <v>0</v>
      </c>
      <c r="I175" s="73">
        <f t="shared" si="308"/>
        <v>0</v>
      </c>
      <c r="J175" s="73">
        <f t="shared" si="308"/>
        <v>0</v>
      </c>
      <c r="K175" s="73">
        <f t="shared" si="308"/>
        <v>0</v>
      </c>
      <c r="L175" s="73">
        <f t="shared" si="308"/>
        <v>0</v>
      </c>
      <c r="M175" s="73">
        <f t="shared" si="308"/>
        <v>0</v>
      </c>
      <c r="N175" s="73">
        <f t="shared" si="308"/>
        <v>0</v>
      </c>
      <c r="O175" s="73">
        <f t="shared" si="308"/>
        <v>0</v>
      </c>
      <c r="P175" s="73">
        <f t="shared" si="308"/>
        <v>0</v>
      </c>
      <c r="Q175" s="73">
        <f t="shared" si="308"/>
        <v>0</v>
      </c>
      <c r="R175" s="73">
        <f t="shared" si="308"/>
        <v>0</v>
      </c>
      <c r="S175" s="73">
        <f t="shared" si="308"/>
        <v>0</v>
      </c>
      <c r="T175" s="73">
        <f t="shared" si="308"/>
        <v>0</v>
      </c>
      <c r="U175" s="73">
        <f t="shared" si="309"/>
        <v>0</v>
      </c>
      <c r="V175" s="73">
        <f t="shared" si="309"/>
        <v>0</v>
      </c>
      <c r="W175" s="73">
        <f t="shared" si="309"/>
        <v>0</v>
      </c>
      <c r="X175" s="73">
        <f t="shared" si="309"/>
        <v>0</v>
      </c>
      <c r="Y175" s="71"/>
    </row>
    <row r="176" spans="1:25" s="79" customFormat="1" ht="59.25" hidden="1" customHeight="1">
      <c r="A176" s="76"/>
      <c r="B176" s="77" t="s">
        <v>189</v>
      </c>
      <c r="C176" s="78" t="s">
        <v>190</v>
      </c>
      <c r="D176" s="59">
        <f>SUM(D177:D178)</f>
        <v>0</v>
      </c>
      <c r="E176" s="59">
        <f t="shared" ref="E176:X176" si="310">SUM(E177:E178)</f>
        <v>0</v>
      </c>
      <c r="F176" s="60">
        <f t="shared" si="310"/>
        <v>0</v>
      </c>
      <c r="G176" s="59">
        <f t="shared" si="310"/>
        <v>0</v>
      </c>
      <c r="H176" s="59">
        <f t="shared" si="310"/>
        <v>0</v>
      </c>
      <c r="I176" s="59">
        <f t="shared" si="310"/>
        <v>0</v>
      </c>
      <c r="J176" s="59">
        <f t="shared" si="310"/>
        <v>0</v>
      </c>
      <c r="K176" s="59">
        <f t="shared" si="310"/>
        <v>0</v>
      </c>
      <c r="L176" s="59">
        <f t="shared" si="310"/>
        <v>0</v>
      </c>
      <c r="M176" s="59">
        <f t="shared" si="310"/>
        <v>0</v>
      </c>
      <c r="N176" s="59">
        <f t="shared" si="310"/>
        <v>0</v>
      </c>
      <c r="O176" s="59">
        <f t="shared" si="310"/>
        <v>0</v>
      </c>
      <c r="P176" s="59">
        <f t="shared" si="310"/>
        <v>0</v>
      </c>
      <c r="Q176" s="59">
        <f t="shared" si="310"/>
        <v>0</v>
      </c>
      <c r="R176" s="59">
        <f t="shared" si="310"/>
        <v>0</v>
      </c>
      <c r="S176" s="59">
        <f t="shared" si="310"/>
        <v>0</v>
      </c>
      <c r="T176" s="59">
        <f t="shared" si="310"/>
        <v>0</v>
      </c>
      <c r="U176" s="59">
        <f t="shared" si="310"/>
        <v>0</v>
      </c>
      <c r="V176" s="59">
        <f t="shared" si="310"/>
        <v>0</v>
      </c>
      <c r="W176" s="59">
        <f t="shared" si="310"/>
        <v>0</v>
      </c>
      <c r="X176" s="59">
        <f t="shared" si="310"/>
        <v>0</v>
      </c>
      <c r="Y176" s="76"/>
    </row>
    <row r="177" spans="1:25" s="3" customFormat="1" ht="43.5" hidden="1" customHeight="1">
      <c r="A177" s="80"/>
      <c r="B177" s="49" t="s">
        <v>280</v>
      </c>
      <c r="C177" s="81"/>
      <c r="D177" s="43">
        <f t="shared" ref="D177:D178" si="311">E177+J177+N177+O177+SUM(R177:V177)</f>
        <v>0</v>
      </c>
      <c r="E177" s="44">
        <f t="shared" ref="E177:E178" si="312">SUM(F177:I177)</f>
        <v>0</v>
      </c>
      <c r="F177" s="47"/>
      <c r="G177" s="48"/>
      <c r="H177" s="48"/>
      <c r="I177" s="48"/>
      <c r="J177" s="44">
        <f t="shared" ref="J177:J178" si="313">SUM(K177:M177)</f>
        <v>0</v>
      </c>
      <c r="K177" s="48"/>
      <c r="L177" s="48"/>
      <c r="M177" s="48"/>
      <c r="N177" s="48"/>
      <c r="O177" s="44">
        <f t="shared" ref="O177:O178" si="314">SUM(P177:Q177)</f>
        <v>0</v>
      </c>
      <c r="P177" s="48"/>
      <c r="Q177" s="48"/>
      <c r="R177" s="48"/>
      <c r="S177" s="48"/>
      <c r="T177" s="48"/>
      <c r="U177" s="48"/>
      <c r="V177" s="44">
        <f t="shared" ref="V177:V178" si="315">SUM(W177:X177)</f>
        <v>0</v>
      </c>
      <c r="W177" s="48"/>
      <c r="X177" s="48"/>
      <c r="Y177" s="49" t="s">
        <v>281</v>
      </c>
    </row>
    <row r="178" spans="1:25" s="3" customFormat="1" ht="57.75" hidden="1" customHeight="1">
      <c r="A178" s="80"/>
      <c r="B178" s="42" t="s">
        <v>282</v>
      </c>
      <c r="C178" s="81"/>
      <c r="D178" s="43">
        <f t="shared" si="311"/>
        <v>0</v>
      </c>
      <c r="E178" s="44">
        <f t="shared" si="312"/>
        <v>0</v>
      </c>
      <c r="F178" s="47"/>
      <c r="G178" s="48"/>
      <c r="H178" s="48"/>
      <c r="I178" s="48"/>
      <c r="J178" s="44">
        <f t="shared" si="313"/>
        <v>0</v>
      </c>
      <c r="K178" s="48"/>
      <c r="L178" s="48"/>
      <c r="M178" s="48"/>
      <c r="N178" s="48"/>
      <c r="O178" s="44">
        <f t="shared" si="314"/>
        <v>0</v>
      </c>
      <c r="P178" s="48"/>
      <c r="Q178" s="48"/>
      <c r="R178" s="48"/>
      <c r="S178" s="48"/>
      <c r="T178" s="48"/>
      <c r="U178" s="48"/>
      <c r="V178" s="44">
        <f t="shared" si="315"/>
        <v>0</v>
      </c>
      <c r="W178" s="48"/>
      <c r="X178" s="48"/>
      <c r="Y178" s="42" t="s">
        <v>283</v>
      </c>
    </row>
    <row r="179" spans="1:25" s="32" customFormat="1" ht="30" hidden="1" customHeight="1">
      <c r="A179" s="31" t="s">
        <v>284</v>
      </c>
      <c r="B179" s="31" t="s">
        <v>285</v>
      </c>
      <c r="C179" s="28"/>
      <c r="D179" s="29">
        <f>D180</f>
        <v>0</v>
      </c>
      <c r="E179" s="29">
        <f t="shared" ref="E179:T180" si="316">E180</f>
        <v>0</v>
      </c>
      <c r="F179" s="30">
        <f t="shared" si="316"/>
        <v>0</v>
      </c>
      <c r="G179" s="29">
        <f t="shared" si="316"/>
        <v>0</v>
      </c>
      <c r="H179" s="29">
        <f t="shared" si="316"/>
        <v>0</v>
      </c>
      <c r="I179" s="29">
        <f t="shared" si="316"/>
        <v>0</v>
      </c>
      <c r="J179" s="29">
        <f t="shared" si="316"/>
        <v>0</v>
      </c>
      <c r="K179" s="29">
        <f t="shared" si="316"/>
        <v>0</v>
      </c>
      <c r="L179" s="29">
        <f t="shared" si="316"/>
        <v>0</v>
      </c>
      <c r="M179" s="29">
        <f t="shared" si="316"/>
        <v>0</v>
      </c>
      <c r="N179" s="29">
        <f t="shared" si="316"/>
        <v>0</v>
      </c>
      <c r="O179" s="29">
        <f t="shared" si="316"/>
        <v>0</v>
      </c>
      <c r="P179" s="29">
        <f t="shared" si="316"/>
        <v>0</v>
      </c>
      <c r="Q179" s="29">
        <f t="shared" si="316"/>
        <v>0</v>
      </c>
      <c r="R179" s="29">
        <f t="shared" si="316"/>
        <v>0</v>
      </c>
      <c r="S179" s="29">
        <f t="shared" si="316"/>
        <v>0</v>
      </c>
      <c r="T179" s="29">
        <f t="shared" si="316"/>
        <v>0</v>
      </c>
      <c r="U179" s="29">
        <f t="shared" ref="U179:X180" si="317">U180</f>
        <v>0</v>
      </c>
      <c r="V179" s="29">
        <f t="shared" si="317"/>
        <v>0</v>
      </c>
      <c r="W179" s="29">
        <f t="shared" si="317"/>
        <v>0</v>
      </c>
      <c r="X179" s="29">
        <f t="shared" si="317"/>
        <v>0</v>
      </c>
      <c r="Y179" s="31"/>
    </row>
    <row r="180" spans="1:25" s="75" customFormat="1" ht="35.25" hidden="1" customHeight="1">
      <c r="A180" s="71"/>
      <c r="B180" s="71" t="s">
        <v>223</v>
      </c>
      <c r="C180" s="72" t="s">
        <v>176</v>
      </c>
      <c r="D180" s="73">
        <f>D181</f>
        <v>0</v>
      </c>
      <c r="E180" s="73">
        <f t="shared" si="316"/>
        <v>0</v>
      </c>
      <c r="F180" s="74">
        <f t="shared" si="316"/>
        <v>0</v>
      </c>
      <c r="G180" s="73">
        <f t="shared" si="316"/>
        <v>0</v>
      </c>
      <c r="H180" s="73">
        <f t="shared" si="316"/>
        <v>0</v>
      </c>
      <c r="I180" s="73">
        <f t="shared" si="316"/>
        <v>0</v>
      </c>
      <c r="J180" s="73">
        <f t="shared" si="316"/>
        <v>0</v>
      </c>
      <c r="K180" s="73">
        <f t="shared" si="316"/>
        <v>0</v>
      </c>
      <c r="L180" s="73">
        <f t="shared" si="316"/>
        <v>0</v>
      </c>
      <c r="M180" s="73">
        <f t="shared" si="316"/>
        <v>0</v>
      </c>
      <c r="N180" s="73">
        <f t="shared" si="316"/>
        <v>0</v>
      </c>
      <c r="O180" s="73">
        <f t="shared" si="316"/>
        <v>0</v>
      </c>
      <c r="P180" s="73">
        <f t="shared" si="316"/>
        <v>0</v>
      </c>
      <c r="Q180" s="73">
        <f t="shared" si="316"/>
        <v>0</v>
      </c>
      <c r="R180" s="73">
        <f t="shared" si="316"/>
        <v>0</v>
      </c>
      <c r="S180" s="73">
        <f t="shared" si="316"/>
        <v>0</v>
      </c>
      <c r="T180" s="73">
        <f t="shared" si="316"/>
        <v>0</v>
      </c>
      <c r="U180" s="73">
        <f t="shared" si="317"/>
        <v>0</v>
      </c>
      <c r="V180" s="73">
        <f t="shared" si="317"/>
        <v>0</v>
      </c>
      <c r="W180" s="73">
        <f t="shared" si="317"/>
        <v>0</v>
      </c>
      <c r="X180" s="73">
        <f t="shared" si="317"/>
        <v>0</v>
      </c>
      <c r="Y180" s="71"/>
    </row>
    <row r="181" spans="1:25" s="79" customFormat="1" ht="63.75" hidden="1" customHeight="1">
      <c r="A181" s="76"/>
      <c r="B181" s="77" t="s">
        <v>189</v>
      </c>
      <c r="C181" s="78" t="s">
        <v>190</v>
      </c>
      <c r="D181" s="59">
        <f>SUM(D182:D183)</f>
        <v>0</v>
      </c>
      <c r="E181" s="59">
        <f t="shared" ref="E181:X181" si="318">SUM(E182:E183)</f>
        <v>0</v>
      </c>
      <c r="F181" s="60">
        <f t="shared" si="318"/>
        <v>0</v>
      </c>
      <c r="G181" s="59">
        <f t="shared" si="318"/>
        <v>0</v>
      </c>
      <c r="H181" s="59">
        <f t="shared" si="318"/>
        <v>0</v>
      </c>
      <c r="I181" s="59">
        <f t="shared" si="318"/>
        <v>0</v>
      </c>
      <c r="J181" s="59">
        <f t="shared" si="318"/>
        <v>0</v>
      </c>
      <c r="K181" s="59">
        <f t="shared" si="318"/>
        <v>0</v>
      </c>
      <c r="L181" s="59">
        <f t="shared" si="318"/>
        <v>0</v>
      </c>
      <c r="M181" s="59">
        <f t="shared" si="318"/>
        <v>0</v>
      </c>
      <c r="N181" s="59">
        <f t="shared" si="318"/>
        <v>0</v>
      </c>
      <c r="O181" s="59">
        <f t="shared" si="318"/>
        <v>0</v>
      </c>
      <c r="P181" s="59">
        <f t="shared" si="318"/>
        <v>0</v>
      </c>
      <c r="Q181" s="59">
        <f t="shared" si="318"/>
        <v>0</v>
      </c>
      <c r="R181" s="59">
        <f t="shared" si="318"/>
        <v>0</v>
      </c>
      <c r="S181" s="59">
        <f t="shared" si="318"/>
        <v>0</v>
      </c>
      <c r="T181" s="59">
        <f t="shared" si="318"/>
        <v>0</v>
      </c>
      <c r="U181" s="59">
        <f t="shared" si="318"/>
        <v>0</v>
      </c>
      <c r="V181" s="59">
        <f t="shared" si="318"/>
        <v>0</v>
      </c>
      <c r="W181" s="59">
        <f t="shared" si="318"/>
        <v>0</v>
      </c>
      <c r="X181" s="59">
        <f t="shared" si="318"/>
        <v>0</v>
      </c>
      <c r="Y181" s="76"/>
    </row>
    <row r="182" spans="1:25" s="3" customFormat="1" ht="63" hidden="1">
      <c r="A182" s="80"/>
      <c r="B182" s="49" t="s">
        <v>286</v>
      </c>
      <c r="C182" s="81"/>
      <c r="D182" s="43">
        <f t="shared" ref="D182:D183" si="319">E182+J182+N182+O182+SUM(R182:V182)</f>
        <v>0</v>
      </c>
      <c r="E182" s="44">
        <f t="shared" ref="E182:E183" si="320">SUM(F182:I182)</f>
        <v>0</v>
      </c>
      <c r="F182" s="47"/>
      <c r="G182" s="48"/>
      <c r="H182" s="48"/>
      <c r="I182" s="48"/>
      <c r="J182" s="44">
        <f t="shared" ref="J182:J183" si="321">SUM(K182:M182)</f>
        <v>0</v>
      </c>
      <c r="K182" s="48"/>
      <c r="L182" s="48"/>
      <c r="M182" s="48"/>
      <c r="N182" s="48"/>
      <c r="O182" s="44">
        <f t="shared" ref="O182:O183" si="322">SUM(P182:Q182)</f>
        <v>0</v>
      </c>
      <c r="P182" s="48"/>
      <c r="Q182" s="48"/>
      <c r="R182" s="48"/>
      <c r="S182" s="48"/>
      <c r="T182" s="48"/>
      <c r="U182" s="48"/>
      <c r="V182" s="44">
        <f t="shared" ref="V182:V183" si="323">SUM(W182:X182)</f>
        <v>0</v>
      </c>
      <c r="W182" s="48"/>
      <c r="X182" s="48"/>
      <c r="Y182" s="49"/>
    </row>
    <row r="183" spans="1:25" s="3" customFormat="1" ht="15.75" hidden="1">
      <c r="A183" s="80"/>
      <c r="B183" s="42"/>
      <c r="C183" s="81"/>
      <c r="D183" s="43">
        <f t="shared" si="319"/>
        <v>0</v>
      </c>
      <c r="E183" s="44">
        <f t="shared" si="320"/>
        <v>0</v>
      </c>
      <c r="F183" s="47"/>
      <c r="G183" s="48"/>
      <c r="H183" s="48"/>
      <c r="I183" s="48"/>
      <c r="J183" s="44">
        <f t="shared" si="321"/>
        <v>0</v>
      </c>
      <c r="K183" s="48"/>
      <c r="L183" s="48"/>
      <c r="M183" s="48"/>
      <c r="N183" s="48"/>
      <c r="O183" s="44">
        <f t="shared" si="322"/>
        <v>0</v>
      </c>
      <c r="P183" s="48"/>
      <c r="Q183" s="48"/>
      <c r="R183" s="48"/>
      <c r="S183" s="48"/>
      <c r="T183" s="48"/>
      <c r="U183" s="48"/>
      <c r="V183" s="44">
        <f t="shared" si="323"/>
        <v>0</v>
      </c>
      <c r="W183" s="48"/>
      <c r="X183" s="48"/>
      <c r="Y183" s="42"/>
    </row>
    <row r="184" spans="1:25" s="32" customFormat="1" ht="35.25" hidden="1" customHeight="1">
      <c r="A184" s="31" t="s">
        <v>287</v>
      </c>
      <c r="B184" s="31" t="s">
        <v>288</v>
      </c>
      <c r="C184" s="28"/>
      <c r="D184" s="29">
        <f>D185</f>
        <v>0</v>
      </c>
      <c r="E184" s="29">
        <f t="shared" ref="E184:T185" si="324">E185</f>
        <v>0</v>
      </c>
      <c r="F184" s="30">
        <f t="shared" si="324"/>
        <v>0</v>
      </c>
      <c r="G184" s="29">
        <f t="shared" si="324"/>
        <v>0</v>
      </c>
      <c r="H184" s="29">
        <f t="shared" si="324"/>
        <v>0</v>
      </c>
      <c r="I184" s="29">
        <f t="shared" si="324"/>
        <v>0</v>
      </c>
      <c r="J184" s="29">
        <f t="shared" si="324"/>
        <v>0</v>
      </c>
      <c r="K184" s="29">
        <f t="shared" si="324"/>
        <v>0</v>
      </c>
      <c r="L184" s="29">
        <f t="shared" si="324"/>
        <v>0</v>
      </c>
      <c r="M184" s="29">
        <f t="shared" si="324"/>
        <v>0</v>
      </c>
      <c r="N184" s="29">
        <f t="shared" si="324"/>
        <v>0</v>
      </c>
      <c r="O184" s="29">
        <f t="shared" si="324"/>
        <v>0</v>
      </c>
      <c r="P184" s="29">
        <f t="shared" si="324"/>
        <v>0</v>
      </c>
      <c r="Q184" s="29">
        <f t="shared" si="324"/>
        <v>0</v>
      </c>
      <c r="R184" s="29">
        <f t="shared" si="324"/>
        <v>0</v>
      </c>
      <c r="S184" s="29">
        <f t="shared" si="324"/>
        <v>0</v>
      </c>
      <c r="T184" s="29">
        <f t="shared" si="324"/>
        <v>0</v>
      </c>
      <c r="U184" s="29">
        <f t="shared" ref="U184:X185" si="325">U185</f>
        <v>0</v>
      </c>
      <c r="V184" s="29">
        <f t="shared" si="325"/>
        <v>0</v>
      </c>
      <c r="W184" s="29">
        <f t="shared" si="325"/>
        <v>0</v>
      </c>
      <c r="X184" s="29">
        <f t="shared" si="325"/>
        <v>0</v>
      </c>
      <c r="Y184" s="31"/>
    </row>
    <row r="185" spans="1:25" s="75" customFormat="1" ht="14.25" hidden="1">
      <c r="A185" s="71"/>
      <c r="B185" s="71" t="s">
        <v>223</v>
      </c>
      <c r="C185" s="72" t="s">
        <v>176</v>
      </c>
      <c r="D185" s="73">
        <f>D186</f>
        <v>0</v>
      </c>
      <c r="E185" s="73">
        <f t="shared" si="324"/>
        <v>0</v>
      </c>
      <c r="F185" s="74">
        <f t="shared" si="324"/>
        <v>0</v>
      </c>
      <c r="G185" s="73">
        <f t="shared" si="324"/>
        <v>0</v>
      </c>
      <c r="H185" s="73">
        <f t="shared" si="324"/>
        <v>0</v>
      </c>
      <c r="I185" s="73">
        <f t="shared" si="324"/>
        <v>0</v>
      </c>
      <c r="J185" s="73">
        <f t="shared" si="324"/>
        <v>0</v>
      </c>
      <c r="K185" s="73">
        <f t="shared" si="324"/>
        <v>0</v>
      </c>
      <c r="L185" s="73">
        <f t="shared" si="324"/>
        <v>0</v>
      </c>
      <c r="M185" s="73">
        <f t="shared" si="324"/>
        <v>0</v>
      </c>
      <c r="N185" s="73">
        <f t="shared" si="324"/>
        <v>0</v>
      </c>
      <c r="O185" s="73">
        <f t="shared" si="324"/>
        <v>0</v>
      </c>
      <c r="P185" s="73">
        <f t="shared" si="324"/>
        <v>0</v>
      </c>
      <c r="Q185" s="73">
        <f t="shared" si="324"/>
        <v>0</v>
      </c>
      <c r="R185" s="73">
        <f t="shared" si="324"/>
        <v>0</v>
      </c>
      <c r="S185" s="73">
        <f t="shared" si="324"/>
        <v>0</v>
      </c>
      <c r="T185" s="73">
        <f t="shared" si="324"/>
        <v>0</v>
      </c>
      <c r="U185" s="73">
        <f t="shared" si="325"/>
        <v>0</v>
      </c>
      <c r="V185" s="73">
        <f t="shared" si="325"/>
        <v>0</v>
      </c>
      <c r="W185" s="73">
        <f t="shared" si="325"/>
        <v>0</v>
      </c>
      <c r="X185" s="73">
        <f t="shared" si="325"/>
        <v>0</v>
      </c>
      <c r="Y185" s="71"/>
    </row>
    <row r="186" spans="1:25" s="79" customFormat="1" ht="75" hidden="1">
      <c r="A186" s="76"/>
      <c r="B186" s="77" t="s">
        <v>191</v>
      </c>
      <c r="C186" s="78" t="s">
        <v>192</v>
      </c>
      <c r="D186" s="59">
        <f>SUM(D187:D188)</f>
        <v>0</v>
      </c>
      <c r="E186" s="59">
        <f t="shared" ref="E186:X186" si="326">SUM(E187:E188)</f>
        <v>0</v>
      </c>
      <c r="F186" s="60">
        <f t="shared" si="326"/>
        <v>0</v>
      </c>
      <c r="G186" s="59">
        <f t="shared" si="326"/>
        <v>0</v>
      </c>
      <c r="H186" s="59">
        <f t="shared" si="326"/>
        <v>0</v>
      </c>
      <c r="I186" s="59">
        <f t="shared" si="326"/>
        <v>0</v>
      </c>
      <c r="J186" s="59">
        <f t="shared" si="326"/>
        <v>0</v>
      </c>
      <c r="K186" s="59">
        <f t="shared" si="326"/>
        <v>0</v>
      </c>
      <c r="L186" s="59">
        <f t="shared" si="326"/>
        <v>0</v>
      </c>
      <c r="M186" s="59">
        <f t="shared" si="326"/>
        <v>0</v>
      </c>
      <c r="N186" s="59">
        <f t="shared" si="326"/>
        <v>0</v>
      </c>
      <c r="O186" s="59">
        <f t="shared" si="326"/>
        <v>0</v>
      </c>
      <c r="P186" s="59">
        <f t="shared" si="326"/>
        <v>0</v>
      </c>
      <c r="Q186" s="59">
        <f t="shared" si="326"/>
        <v>0</v>
      </c>
      <c r="R186" s="59">
        <f t="shared" si="326"/>
        <v>0</v>
      </c>
      <c r="S186" s="59">
        <f t="shared" si="326"/>
        <v>0</v>
      </c>
      <c r="T186" s="59">
        <f t="shared" si="326"/>
        <v>0</v>
      </c>
      <c r="U186" s="59">
        <f t="shared" si="326"/>
        <v>0</v>
      </c>
      <c r="V186" s="59">
        <f t="shared" si="326"/>
        <v>0</v>
      </c>
      <c r="W186" s="59">
        <f t="shared" si="326"/>
        <v>0</v>
      </c>
      <c r="X186" s="59">
        <f t="shared" si="326"/>
        <v>0</v>
      </c>
      <c r="Y186" s="76"/>
    </row>
    <row r="187" spans="1:25" s="3" customFormat="1" ht="47.25" hidden="1">
      <c r="A187" s="80"/>
      <c r="B187" s="49" t="s">
        <v>234</v>
      </c>
      <c r="C187" s="81"/>
      <c r="D187" s="43">
        <f t="shared" ref="D187:D188" si="327">E187+J187+N187+O187+SUM(R187:V187)</f>
        <v>0</v>
      </c>
      <c r="E187" s="44">
        <f t="shared" ref="E187:E188" si="328">SUM(F187:I187)</f>
        <v>0</v>
      </c>
      <c r="F187" s="47"/>
      <c r="G187" s="48"/>
      <c r="H187" s="48"/>
      <c r="I187" s="48"/>
      <c r="J187" s="44">
        <f t="shared" ref="J187:J188" si="329">SUM(K187:M187)</f>
        <v>0</v>
      </c>
      <c r="K187" s="48"/>
      <c r="L187" s="48"/>
      <c r="M187" s="48"/>
      <c r="N187" s="48"/>
      <c r="O187" s="44">
        <f t="shared" ref="O187:O188" si="330">SUM(P187:Q187)</f>
        <v>0</v>
      </c>
      <c r="P187" s="48"/>
      <c r="Q187" s="48"/>
      <c r="R187" s="48"/>
      <c r="S187" s="48"/>
      <c r="T187" s="48"/>
      <c r="U187" s="48"/>
      <c r="V187" s="44">
        <f t="shared" ref="V187:V188" si="331">SUM(W187:X187)</f>
        <v>0</v>
      </c>
      <c r="W187" s="48"/>
      <c r="X187" s="48"/>
      <c r="Y187" s="49" t="s">
        <v>289</v>
      </c>
    </row>
    <row r="188" spans="1:25" s="3" customFormat="1" ht="15.75" hidden="1">
      <c r="A188" s="80"/>
      <c r="B188" s="42"/>
      <c r="C188" s="81"/>
      <c r="D188" s="43">
        <f t="shared" si="327"/>
        <v>0</v>
      </c>
      <c r="E188" s="44">
        <f t="shared" si="328"/>
        <v>0</v>
      </c>
      <c r="F188" s="47"/>
      <c r="G188" s="48"/>
      <c r="H188" s="48"/>
      <c r="I188" s="48"/>
      <c r="J188" s="44">
        <f t="shared" si="329"/>
        <v>0</v>
      </c>
      <c r="K188" s="48"/>
      <c r="L188" s="48"/>
      <c r="M188" s="48"/>
      <c r="N188" s="48"/>
      <c r="O188" s="44">
        <f t="shared" si="330"/>
        <v>0</v>
      </c>
      <c r="P188" s="48"/>
      <c r="Q188" s="48"/>
      <c r="R188" s="48"/>
      <c r="S188" s="48"/>
      <c r="T188" s="48"/>
      <c r="U188" s="48"/>
      <c r="V188" s="44">
        <f t="shared" si="331"/>
        <v>0</v>
      </c>
      <c r="W188" s="48"/>
      <c r="X188" s="48"/>
      <c r="Y188" s="42"/>
    </row>
    <row r="189" spans="1:25" s="32" customFormat="1" ht="33.75" hidden="1" customHeight="1">
      <c r="A189" s="31" t="s">
        <v>290</v>
      </c>
      <c r="B189" s="31" t="s">
        <v>291</v>
      </c>
      <c r="C189" s="28"/>
      <c r="D189" s="29">
        <f>D190</f>
        <v>0</v>
      </c>
      <c r="E189" s="29">
        <f t="shared" ref="E189:T190" si="332">E190</f>
        <v>0</v>
      </c>
      <c r="F189" s="30">
        <f t="shared" si="332"/>
        <v>0</v>
      </c>
      <c r="G189" s="29">
        <f t="shared" si="332"/>
        <v>0</v>
      </c>
      <c r="H189" s="29">
        <f t="shared" si="332"/>
        <v>0</v>
      </c>
      <c r="I189" s="29">
        <f t="shared" si="332"/>
        <v>0</v>
      </c>
      <c r="J189" s="29">
        <f t="shared" si="332"/>
        <v>0</v>
      </c>
      <c r="K189" s="29">
        <f t="shared" si="332"/>
        <v>0</v>
      </c>
      <c r="L189" s="29">
        <f t="shared" si="332"/>
        <v>0</v>
      </c>
      <c r="M189" s="29">
        <f t="shared" si="332"/>
        <v>0</v>
      </c>
      <c r="N189" s="29">
        <f t="shared" si="332"/>
        <v>0</v>
      </c>
      <c r="O189" s="29">
        <f t="shared" si="332"/>
        <v>0</v>
      </c>
      <c r="P189" s="29">
        <f t="shared" si="332"/>
        <v>0</v>
      </c>
      <c r="Q189" s="29">
        <f t="shared" si="332"/>
        <v>0</v>
      </c>
      <c r="R189" s="29">
        <f t="shared" si="332"/>
        <v>0</v>
      </c>
      <c r="S189" s="29">
        <f t="shared" si="332"/>
        <v>0</v>
      </c>
      <c r="T189" s="29">
        <f t="shared" si="332"/>
        <v>0</v>
      </c>
      <c r="U189" s="29">
        <f t="shared" ref="U189:X190" si="333">U190</f>
        <v>0</v>
      </c>
      <c r="V189" s="29">
        <f t="shared" si="333"/>
        <v>0</v>
      </c>
      <c r="W189" s="29">
        <f t="shared" si="333"/>
        <v>0</v>
      </c>
      <c r="X189" s="29">
        <f t="shared" si="333"/>
        <v>0</v>
      </c>
      <c r="Y189" s="31"/>
    </row>
    <row r="190" spans="1:25" s="75" customFormat="1" ht="14.25" hidden="1">
      <c r="A190" s="71"/>
      <c r="B190" s="71" t="s">
        <v>223</v>
      </c>
      <c r="C190" s="72" t="s">
        <v>176</v>
      </c>
      <c r="D190" s="73">
        <f>D191</f>
        <v>0</v>
      </c>
      <c r="E190" s="73">
        <f t="shared" si="332"/>
        <v>0</v>
      </c>
      <c r="F190" s="74">
        <f t="shared" si="332"/>
        <v>0</v>
      </c>
      <c r="G190" s="73">
        <f t="shared" si="332"/>
        <v>0</v>
      </c>
      <c r="H190" s="73">
        <f t="shared" si="332"/>
        <v>0</v>
      </c>
      <c r="I190" s="73">
        <f t="shared" si="332"/>
        <v>0</v>
      </c>
      <c r="J190" s="73">
        <f t="shared" si="332"/>
        <v>0</v>
      </c>
      <c r="K190" s="73">
        <f t="shared" si="332"/>
        <v>0</v>
      </c>
      <c r="L190" s="73">
        <f t="shared" si="332"/>
        <v>0</v>
      </c>
      <c r="M190" s="73">
        <f t="shared" si="332"/>
        <v>0</v>
      </c>
      <c r="N190" s="73">
        <f t="shared" si="332"/>
        <v>0</v>
      </c>
      <c r="O190" s="73">
        <f t="shared" si="332"/>
        <v>0</v>
      </c>
      <c r="P190" s="73">
        <f t="shared" si="332"/>
        <v>0</v>
      </c>
      <c r="Q190" s="73">
        <f t="shared" si="332"/>
        <v>0</v>
      </c>
      <c r="R190" s="73">
        <f t="shared" si="332"/>
        <v>0</v>
      </c>
      <c r="S190" s="73">
        <f t="shared" si="332"/>
        <v>0</v>
      </c>
      <c r="T190" s="73">
        <f t="shared" si="332"/>
        <v>0</v>
      </c>
      <c r="U190" s="73">
        <f t="shared" si="333"/>
        <v>0</v>
      </c>
      <c r="V190" s="73">
        <f t="shared" si="333"/>
        <v>0</v>
      </c>
      <c r="W190" s="73">
        <f t="shared" si="333"/>
        <v>0</v>
      </c>
      <c r="X190" s="73">
        <f t="shared" si="333"/>
        <v>0</v>
      </c>
      <c r="Y190" s="71"/>
    </row>
    <row r="191" spans="1:25" s="79" customFormat="1" ht="75" hidden="1">
      <c r="A191" s="76"/>
      <c r="B191" s="77" t="s">
        <v>191</v>
      </c>
      <c r="C191" s="78" t="s">
        <v>192</v>
      </c>
      <c r="D191" s="59">
        <f>SUM(D192:D193)</f>
        <v>0</v>
      </c>
      <c r="E191" s="59">
        <f t="shared" ref="E191:X191" si="334">SUM(E192:E193)</f>
        <v>0</v>
      </c>
      <c r="F191" s="60">
        <f t="shared" si="334"/>
        <v>0</v>
      </c>
      <c r="G191" s="59">
        <f t="shared" si="334"/>
        <v>0</v>
      </c>
      <c r="H191" s="59">
        <f t="shared" si="334"/>
        <v>0</v>
      </c>
      <c r="I191" s="59">
        <f t="shared" si="334"/>
        <v>0</v>
      </c>
      <c r="J191" s="59">
        <f t="shared" si="334"/>
        <v>0</v>
      </c>
      <c r="K191" s="59">
        <f t="shared" si="334"/>
        <v>0</v>
      </c>
      <c r="L191" s="59">
        <f t="shared" si="334"/>
        <v>0</v>
      </c>
      <c r="M191" s="59">
        <f t="shared" si="334"/>
        <v>0</v>
      </c>
      <c r="N191" s="59">
        <f t="shared" si="334"/>
        <v>0</v>
      </c>
      <c r="O191" s="59">
        <f t="shared" si="334"/>
        <v>0</v>
      </c>
      <c r="P191" s="59">
        <f t="shared" si="334"/>
        <v>0</v>
      </c>
      <c r="Q191" s="59">
        <f t="shared" si="334"/>
        <v>0</v>
      </c>
      <c r="R191" s="59">
        <f t="shared" si="334"/>
        <v>0</v>
      </c>
      <c r="S191" s="59">
        <f t="shared" si="334"/>
        <v>0</v>
      </c>
      <c r="T191" s="59">
        <f t="shared" si="334"/>
        <v>0</v>
      </c>
      <c r="U191" s="59">
        <f t="shared" si="334"/>
        <v>0</v>
      </c>
      <c r="V191" s="59">
        <f t="shared" si="334"/>
        <v>0</v>
      </c>
      <c r="W191" s="59">
        <f t="shared" si="334"/>
        <v>0</v>
      </c>
      <c r="X191" s="59">
        <f t="shared" si="334"/>
        <v>0</v>
      </c>
      <c r="Y191" s="76"/>
    </row>
    <row r="192" spans="1:25" s="3" customFormat="1" ht="47.25" hidden="1">
      <c r="A192" s="80"/>
      <c r="B192" s="42" t="s">
        <v>234</v>
      </c>
      <c r="C192" s="81"/>
      <c r="D192" s="43">
        <f t="shared" ref="D192:D193" si="335">E192+J192+N192+O192+SUM(R192:V192)</f>
        <v>0</v>
      </c>
      <c r="E192" s="44">
        <f t="shared" ref="E192:E193" si="336">SUM(F192:I192)</f>
        <v>0</v>
      </c>
      <c r="F192" s="47"/>
      <c r="G192" s="48"/>
      <c r="H192" s="48"/>
      <c r="I192" s="48"/>
      <c r="J192" s="44">
        <f t="shared" ref="J192:J193" si="337">SUM(K192:M192)</f>
        <v>0</v>
      </c>
      <c r="K192" s="48"/>
      <c r="L192" s="48"/>
      <c r="M192" s="48"/>
      <c r="N192" s="48"/>
      <c r="O192" s="44">
        <f t="shared" ref="O192:O193" si="338">SUM(P192:Q192)</f>
        <v>0</v>
      </c>
      <c r="P192" s="48"/>
      <c r="Q192" s="48"/>
      <c r="R192" s="48"/>
      <c r="S192" s="48"/>
      <c r="T192" s="48"/>
      <c r="U192" s="48"/>
      <c r="V192" s="44">
        <f t="shared" ref="V192:V193" si="339">SUM(W192:X192)</f>
        <v>0</v>
      </c>
      <c r="W192" s="48"/>
      <c r="X192" s="48"/>
      <c r="Y192" s="42" t="s">
        <v>292</v>
      </c>
    </row>
    <row r="193" spans="1:25" s="3" customFormat="1" ht="15.75" hidden="1">
      <c r="A193" s="80"/>
      <c r="B193" s="42"/>
      <c r="C193" s="81"/>
      <c r="D193" s="43">
        <f t="shared" si="335"/>
        <v>0</v>
      </c>
      <c r="E193" s="44">
        <f t="shared" si="336"/>
        <v>0</v>
      </c>
      <c r="F193" s="47"/>
      <c r="G193" s="48"/>
      <c r="H193" s="48"/>
      <c r="I193" s="48"/>
      <c r="J193" s="44">
        <f t="shared" si="337"/>
        <v>0</v>
      </c>
      <c r="K193" s="48"/>
      <c r="L193" s="48"/>
      <c r="M193" s="48"/>
      <c r="N193" s="48"/>
      <c r="O193" s="44">
        <f t="shared" si="338"/>
        <v>0</v>
      </c>
      <c r="P193" s="48"/>
      <c r="Q193" s="48"/>
      <c r="R193" s="48"/>
      <c r="S193" s="48"/>
      <c r="T193" s="48"/>
      <c r="U193" s="48"/>
      <c r="V193" s="44">
        <f t="shared" si="339"/>
        <v>0</v>
      </c>
      <c r="W193" s="48"/>
      <c r="X193" s="48"/>
      <c r="Y193" s="80"/>
    </row>
    <row r="194" spans="1:25" s="32" customFormat="1" ht="30" hidden="1" customHeight="1">
      <c r="A194" s="31" t="s">
        <v>293</v>
      </c>
      <c r="B194" s="31" t="s">
        <v>294</v>
      </c>
      <c r="C194" s="28"/>
      <c r="D194" s="29">
        <f>D195</f>
        <v>0</v>
      </c>
      <c r="E194" s="29">
        <f t="shared" ref="E194:T196" si="340">E195</f>
        <v>0</v>
      </c>
      <c r="F194" s="30">
        <f t="shared" si="340"/>
        <v>0</v>
      </c>
      <c r="G194" s="29">
        <f t="shared" si="340"/>
        <v>0</v>
      </c>
      <c r="H194" s="29">
        <f t="shared" si="340"/>
        <v>0</v>
      </c>
      <c r="I194" s="29">
        <f t="shared" si="340"/>
        <v>0</v>
      </c>
      <c r="J194" s="29">
        <f t="shared" si="340"/>
        <v>0</v>
      </c>
      <c r="K194" s="29">
        <f t="shared" si="340"/>
        <v>0</v>
      </c>
      <c r="L194" s="29">
        <f t="shared" si="340"/>
        <v>0</v>
      </c>
      <c r="M194" s="29">
        <f t="shared" si="340"/>
        <v>0</v>
      </c>
      <c r="N194" s="29">
        <f t="shared" si="340"/>
        <v>0</v>
      </c>
      <c r="O194" s="29">
        <f t="shared" si="340"/>
        <v>0</v>
      </c>
      <c r="P194" s="29">
        <f t="shared" si="340"/>
        <v>0</v>
      </c>
      <c r="Q194" s="29">
        <f t="shared" si="340"/>
        <v>0</v>
      </c>
      <c r="R194" s="29">
        <f t="shared" si="340"/>
        <v>0</v>
      </c>
      <c r="S194" s="29">
        <f t="shared" si="340"/>
        <v>0</v>
      </c>
      <c r="T194" s="29">
        <f t="shared" si="340"/>
        <v>0</v>
      </c>
      <c r="U194" s="29">
        <f t="shared" ref="U194:X196" si="341">U195</f>
        <v>0</v>
      </c>
      <c r="V194" s="29">
        <f t="shared" si="341"/>
        <v>0</v>
      </c>
      <c r="W194" s="29">
        <f t="shared" si="341"/>
        <v>0</v>
      </c>
      <c r="X194" s="29">
        <f t="shared" si="341"/>
        <v>0</v>
      </c>
      <c r="Y194" s="31"/>
    </row>
    <row r="195" spans="1:25" s="75" customFormat="1" ht="14.25" hidden="1">
      <c r="A195" s="71"/>
      <c r="B195" s="71" t="s">
        <v>223</v>
      </c>
      <c r="C195" s="72" t="s">
        <v>176</v>
      </c>
      <c r="D195" s="73">
        <f>D196</f>
        <v>0</v>
      </c>
      <c r="E195" s="73">
        <f t="shared" si="340"/>
        <v>0</v>
      </c>
      <c r="F195" s="74">
        <f t="shared" si="340"/>
        <v>0</v>
      </c>
      <c r="G195" s="73">
        <f t="shared" si="340"/>
        <v>0</v>
      </c>
      <c r="H195" s="73">
        <f t="shared" si="340"/>
        <v>0</v>
      </c>
      <c r="I195" s="73">
        <f t="shared" si="340"/>
        <v>0</v>
      </c>
      <c r="J195" s="73">
        <f t="shared" si="340"/>
        <v>0</v>
      </c>
      <c r="K195" s="73">
        <f t="shared" si="340"/>
        <v>0</v>
      </c>
      <c r="L195" s="73">
        <f t="shared" si="340"/>
        <v>0</v>
      </c>
      <c r="M195" s="73">
        <f t="shared" si="340"/>
        <v>0</v>
      </c>
      <c r="N195" s="73">
        <f t="shared" si="340"/>
        <v>0</v>
      </c>
      <c r="O195" s="73">
        <f t="shared" si="340"/>
        <v>0</v>
      </c>
      <c r="P195" s="73">
        <f t="shared" si="340"/>
        <v>0</v>
      </c>
      <c r="Q195" s="73">
        <f t="shared" si="340"/>
        <v>0</v>
      </c>
      <c r="R195" s="73">
        <f t="shared" si="340"/>
        <v>0</v>
      </c>
      <c r="S195" s="73">
        <f t="shared" si="340"/>
        <v>0</v>
      </c>
      <c r="T195" s="73">
        <f t="shared" si="340"/>
        <v>0</v>
      </c>
      <c r="U195" s="73">
        <f t="shared" si="341"/>
        <v>0</v>
      </c>
      <c r="V195" s="73">
        <f t="shared" si="341"/>
        <v>0</v>
      </c>
      <c r="W195" s="73">
        <f t="shared" si="341"/>
        <v>0</v>
      </c>
      <c r="X195" s="73">
        <f t="shared" si="341"/>
        <v>0</v>
      </c>
      <c r="Y195" s="71"/>
    </row>
    <row r="196" spans="1:25" s="79" customFormat="1" ht="63.75" hidden="1" customHeight="1">
      <c r="A196" s="76"/>
      <c r="B196" s="77" t="s">
        <v>191</v>
      </c>
      <c r="C196" s="78" t="s">
        <v>192</v>
      </c>
      <c r="D196" s="59">
        <f>D197</f>
        <v>0</v>
      </c>
      <c r="E196" s="59">
        <f t="shared" si="340"/>
        <v>0</v>
      </c>
      <c r="F196" s="60">
        <f t="shared" si="340"/>
        <v>0</v>
      </c>
      <c r="G196" s="59">
        <f t="shared" si="340"/>
        <v>0</v>
      </c>
      <c r="H196" s="59">
        <f t="shared" si="340"/>
        <v>0</v>
      </c>
      <c r="I196" s="59">
        <f t="shared" si="340"/>
        <v>0</v>
      </c>
      <c r="J196" s="59">
        <f t="shared" si="340"/>
        <v>0</v>
      </c>
      <c r="K196" s="59">
        <f t="shared" si="340"/>
        <v>0</v>
      </c>
      <c r="L196" s="59">
        <f t="shared" si="340"/>
        <v>0</v>
      </c>
      <c r="M196" s="59">
        <f t="shared" si="340"/>
        <v>0</v>
      </c>
      <c r="N196" s="59">
        <f t="shared" si="340"/>
        <v>0</v>
      </c>
      <c r="O196" s="59">
        <f t="shared" si="340"/>
        <v>0</v>
      </c>
      <c r="P196" s="59">
        <f t="shared" si="340"/>
        <v>0</v>
      </c>
      <c r="Q196" s="59">
        <f t="shared" si="340"/>
        <v>0</v>
      </c>
      <c r="R196" s="59">
        <f t="shared" si="340"/>
        <v>0</v>
      </c>
      <c r="S196" s="59">
        <f t="shared" si="340"/>
        <v>0</v>
      </c>
      <c r="T196" s="59">
        <f t="shared" si="340"/>
        <v>0</v>
      </c>
      <c r="U196" s="59">
        <f t="shared" si="341"/>
        <v>0</v>
      </c>
      <c r="V196" s="59">
        <f t="shared" si="341"/>
        <v>0</v>
      </c>
      <c r="W196" s="59">
        <f t="shared" si="341"/>
        <v>0</v>
      </c>
      <c r="X196" s="59">
        <f t="shared" si="341"/>
        <v>0</v>
      </c>
      <c r="Y196" s="76"/>
    </row>
    <row r="197" spans="1:25" s="99" customFormat="1" ht="31.5" hidden="1">
      <c r="A197" s="97"/>
      <c r="B197" s="42" t="s">
        <v>234</v>
      </c>
      <c r="C197" s="98"/>
      <c r="D197" s="43">
        <f>E197+J197+N197+O197+SUM(R197:V197)</f>
        <v>0</v>
      </c>
      <c r="E197" s="44">
        <f>SUM(F197:I197)</f>
        <v>0</v>
      </c>
      <c r="F197" s="47"/>
      <c r="G197" s="48"/>
      <c r="H197" s="48"/>
      <c r="I197" s="48"/>
      <c r="J197" s="44">
        <f t="shared" ref="J197" si="342">SUM(K197:M197)</f>
        <v>0</v>
      </c>
      <c r="K197" s="48"/>
      <c r="L197" s="48"/>
      <c r="M197" s="48"/>
      <c r="N197" s="48"/>
      <c r="O197" s="44">
        <f t="shared" ref="O197" si="343">SUM(P197:Q197)</f>
        <v>0</v>
      </c>
      <c r="P197" s="48"/>
      <c r="Q197" s="48"/>
      <c r="R197" s="48"/>
      <c r="S197" s="48"/>
      <c r="T197" s="48"/>
      <c r="U197" s="48"/>
      <c r="V197" s="44">
        <f t="shared" ref="V197" si="344">SUM(W197:X197)</f>
        <v>0</v>
      </c>
      <c r="W197" s="48"/>
      <c r="X197" s="48"/>
      <c r="Y197" s="97"/>
    </row>
    <row r="198" spans="1:25" s="32" customFormat="1" ht="47.25" hidden="1" customHeight="1">
      <c r="A198" s="31" t="s">
        <v>295</v>
      </c>
      <c r="B198" s="31" t="s">
        <v>296</v>
      </c>
      <c r="C198" s="28"/>
      <c r="D198" s="29">
        <f>D199</f>
        <v>0</v>
      </c>
      <c r="E198" s="29">
        <f t="shared" ref="E198:T200" si="345">E199</f>
        <v>0</v>
      </c>
      <c r="F198" s="30">
        <f t="shared" si="345"/>
        <v>0</v>
      </c>
      <c r="G198" s="29">
        <f t="shared" si="345"/>
        <v>0</v>
      </c>
      <c r="H198" s="29">
        <f t="shared" si="345"/>
        <v>0</v>
      </c>
      <c r="I198" s="29">
        <f t="shared" si="345"/>
        <v>0</v>
      </c>
      <c r="J198" s="29">
        <f t="shared" si="345"/>
        <v>0</v>
      </c>
      <c r="K198" s="29">
        <f t="shared" si="345"/>
        <v>0</v>
      </c>
      <c r="L198" s="29">
        <f t="shared" si="345"/>
        <v>0</v>
      </c>
      <c r="M198" s="29">
        <f t="shared" si="345"/>
        <v>0</v>
      </c>
      <c r="N198" s="29">
        <f t="shared" si="345"/>
        <v>0</v>
      </c>
      <c r="O198" s="29">
        <f t="shared" si="345"/>
        <v>0</v>
      </c>
      <c r="P198" s="29">
        <f t="shared" si="345"/>
        <v>0</v>
      </c>
      <c r="Q198" s="29">
        <f t="shared" si="345"/>
        <v>0</v>
      </c>
      <c r="R198" s="29">
        <f t="shared" si="345"/>
        <v>0</v>
      </c>
      <c r="S198" s="29">
        <f t="shared" si="345"/>
        <v>0</v>
      </c>
      <c r="T198" s="29">
        <f t="shared" si="345"/>
        <v>0</v>
      </c>
      <c r="U198" s="29">
        <f t="shared" ref="U198:X200" si="346">U199</f>
        <v>0</v>
      </c>
      <c r="V198" s="29">
        <f t="shared" si="346"/>
        <v>0</v>
      </c>
      <c r="W198" s="29">
        <f t="shared" si="346"/>
        <v>0</v>
      </c>
      <c r="X198" s="29">
        <f t="shared" si="346"/>
        <v>0</v>
      </c>
      <c r="Y198" s="31"/>
    </row>
    <row r="199" spans="1:25" s="75" customFormat="1" ht="32.25" hidden="1" customHeight="1">
      <c r="A199" s="71"/>
      <c r="B199" s="71" t="s">
        <v>223</v>
      </c>
      <c r="C199" s="72" t="s">
        <v>176</v>
      </c>
      <c r="D199" s="73">
        <f>D200</f>
        <v>0</v>
      </c>
      <c r="E199" s="73">
        <f t="shared" si="345"/>
        <v>0</v>
      </c>
      <c r="F199" s="74">
        <f t="shared" si="345"/>
        <v>0</v>
      </c>
      <c r="G199" s="73">
        <f t="shared" si="345"/>
        <v>0</v>
      </c>
      <c r="H199" s="73">
        <f t="shared" si="345"/>
        <v>0</v>
      </c>
      <c r="I199" s="73">
        <f t="shared" si="345"/>
        <v>0</v>
      </c>
      <c r="J199" s="73">
        <f t="shared" si="345"/>
        <v>0</v>
      </c>
      <c r="K199" s="73">
        <f t="shared" si="345"/>
        <v>0</v>
      </c>
      <c r="L199" s="73">
        <f t="shared" si="345"/>
        <v>0</v>
      </c>
      <c r="M199" s="73">
        <f t="shared" si="345"/>
        <v>0</v>
      </c>
      <c r="N199" s="73">
        <f t="shared" si="345"/>
        <v>0</v>
      </c>
      <c r="O199" s="73">
        <f t="shared" si="345"/>
        <v>0</v>
      </c>
      <c r="P199" s="73">
        <f t="shared" si="345"/>
        <v>0</v>
      </c>
      <c r="Q199" s="73">
        <f t="shared" si="345"/>
        <v>0</v>
      </c>
      <c r="R199" s="73">
        <f t="shared" si="345"/>
        <v>0</v>
      </c>
      <c r="S199" s="73">
        <f t="shared" si="345"/>
        <v>0</v>
      </c>
      <c r="T199" s="73">
        <f t="shared" si="345"/>
        <v>0</v>
      </c>
      <c r="U199" s="73">
        <f t="shared" si="346"/>
        <v>0</v>
      </c>
      <c r="V199" s="73">
        <f t="shared" si="346"/>
        <v>0</v>
      </c>
      <c r="W199" s="73">
        <f t="shared" si="346"/>
        <v>0</v>
      </c>
      <c r="X199" s="73">
        <f t="shared" si="346"/>
        <v>0</v>
      </c>
      <c r="Y199" s="71"/>
    </row>
    <row r="200" spans="1:25" s="79" customFormat="1" ht="63.75" hidden="1" customHeight="1">
      <c r="A200" s="76"/>
      <c r="B200" s="77" t="s">
        <v>191</v>
      </c>
      <c r="C200" s="78" t="s">
        <v>192</v>
      </c>
      <c r="D200" s="59">
        <f>D201</f>
        <v>0</v>
      </c>
      <c r="E200" s="59">
        <f t="shared" si="345"/>
        <v>0</v>
      </c>
      <c r="F200" s="60">
        <f t="shared" si="345"/>
        <v>0</v>
      </c>
      <c r="G200" s="59">
        <f t="shared" si="345"/>
        <v>0</v>
      </c>
      <c r="H200" s="59">
        <f t="shared" si="345"/>
        <v>0</v>
      </c>
      <c r="I200" s="59">
        <f t="shared" si="345"/>
        <v>0</v>
      </c>
      <c r="J200" s="59">
        <f t="shared" si="345"/>
        <v>0</v>
      </c>
      <c r="K200" s="59">
        <f t="shared" si="345"/>
        <v>0</v>
      </c>
      <c r="L200" s="59">
        <f t="shared" si="345"/>
        <v>0</v>
      </c>
      <c r="M200" s="59">
        <f t="shared" si="345"/>
        <v>0</v>
      </c>
      <c r="N200" s="59">
        <f t="shared" si="345"/>
        <v>0</v>
      </c>
      <c r="O200" s="59">
        <f t="shared" si="345"/>
        <v>0</v>
      </c>
      <c r="P200" s="59">
        <f t="shared" si="345"/>
        <v>0</v>
      </c>
      <c r="Q200" s="59">
        <f t="shared" si="345"/>
        <v>0</v>
      </c>
      <c r="R200" s="59">
        <f t="shared" si="345"/>
        <v>0</v>
      </c>
      <c r="S200" s="59">
        <f t="shared" si="345"/>
        <v>0</v>
      </c>
      <c r="T200" s="59">
        <f t="shared" si="345"/>
        <v>0</v>
      </c>
      <c r="U200" s="59">
        <f t="shared" si="346"/>
        <v>0</v>
      </c>
      <c r="V200" s="59">
        <f t="shared" si="346"/>
        <v>0</v>
      </c>
      <c r="W200" s="59">
        <f t="shared" si="346"/>
        <v>0</v>
      </c>
      <c r="X200" s="59">
        <f t="shared" si="346"/>
        <v>0</v>
      </c>
      <c r="Y200" s="76"/>
    </row>
    <row r="201" spans="1:25" s="99" customFormat="1" ht="48.75" hidden="1" customHeight="1">
      <c r="A201" s="97"/>
      <c r="B201" s="42" t="s">
        <v>234</v>
      </c>
      <c r="C201" s="98"/>
      <c r="D201" s="43">
        <f>E201+J201+N201+O201+SUM(R201:V201)</f>
        <v>0</v>
      </c>
      <c r="E201" s="44">
        <f>SUM(F201:I201)</f>
        <v>0</v>
      </c>
      <c r="F201" s="47"/>
      <c r="G201" s="48"/>
      <c r="H201" s="48"/>
      <c r="I201" s="48"/>
      <c r="J201" s="44">
        <f t="shared" ref="J201" si="347">SUM(K201:M201)</f>
        <v>0</v>
      </c>
      <c r="K201" s="48"/>
      <c r="L201" s="48"/>
      <c r="M201" s="48"/>
      <c r="N201" s="48"/>
      <c r="O201" s="44">
        <f t="shared" ref="O201" si="348">SUM(P201:Q201)</f>
        <v>0</v>
      </c>
      <c r="P201" s="48"/>
      <c r="Q201" s="48"/>
      <c r="R201" s="48"/>
      <c r="S201" s="48"/>
      <c r="T201" s="48"/>
      <c r="U201" s="48"/>
      <c r="V201" s="44">
        <f t="shared" ref="V201" si="349">SUM(W201:X201)</f>
        <v>0</v>
      </c>
      <c r="W201" s="48"/>
      <c r="X201" s="48"/>
      <c r="Y201" s="97"/>
    </row>
    <row r="202" spans="1:25" s="32" customFormat="1" ht="44.25" hidden="1" customHeight="1">
      <c r="A202" s="31" t="s">
        <v>297</v>
      </c>
      <c r="B202" s="31" t="s">
        <v>298</v>
      </c>
      <c r="C202" s="28"/>
      <c r="D202" s="29">
        <f>D203</f>
        <v>0</v>
      </c>
      <c r="E202" s="29">
        <f t="shared" ref="E202:T203" si="350">E203</f>
        <v>0</v>
      </c>
      <c r="F202" s="30">
        <f t="shared" si="350"/>
        <v>0</v>
      </c>
      <c r="G202" s="29">
        <f t="shared" si="350"/>
        <v>0</v>
      </c>
      <c r="H202" s="29">
        <f t="shared" si="350"/>
        <v>0</v>
      </c>
      <c r="I202" s="29">
        <f t="shared" si="350"/>
        <v>0</v>
      </c>
      <c r="J202" s="29">
        <f t="shared" si="350"/>
        <v>0</v>
      </c>
      <c r="K202" s="29">
        <f t="shared" si="350"/>
        <v>0</v>
      </c>
      <c r="L202" s="29">
        <f t="shared" si="350"/>
        <v>0</v>
      </c>
      <c r="M202" s="29">
        <f t="shared" si="350"/>
        <v>0</v>
      </c>
      <c r="N202" s="29">
        <f t="shared" si="350"/>
        <v>0</v>
      </c>
      <c r="O202" s="29">
        <f t="shared" si="350"/>
        <v>0</v>
      </c>
      <c r="P202" s="29">
        <f t="shared" si="350"/>
        <v>0</v>
      </c>
      <c r="Q202" s="29">
        <f t="shared" si="350"/>
        <v>0</v>
      </c>
      <c r="R202" s="29">
        <f t="shared" si="350"/>
        <v>0</v>
      </c>
      <c r="S202" s="29">
        <f t="shared" si="350"/>
        <v>0</v>
      </c>
      <c r="T202" s="29">
        <f t="shared" si="350"/>
        <v>0</v>
      </c>
      <c r="U202" s="29">
        <f t="shared" ref="U202:X203" si="351">U203</f>
        <v>0</v>
      </c>
      <c r="V202" s="29">
        <f t="shared" si="351"/>
        <v>0</v>
      </c>
      <c r="W202" s="29">
        <f t="shared" si="351"/>
        <v>0</v>
      </c>
      <c r="X202" s="29">
        <f t="shared" si="351"/>
        <v>0</v>
      </c>
      <c r="Y202" s="31"/>
    </row>
    <row r="203" spans="1:25" s="75" customFormat="1" ht="24.75" hidden="1" customHeight="1">
      <c r="A203" s="71"/>
      <c r="B203" s="71" t="s">
        <v>223</v>
      </c>
      <c r="C203" s="72" t="s">
        <v>176</v>
      </c>
      <c r="D203" s="73">
        <f>D204</f>
        <v>0</v>
      </c>
      <c r="E203" s="73">
        <f t="shared" si="350"/>
        <v>0</v>
      </c>
      <c r="F203" s="74">
        <f t="shared" si="350"/>
        <v>0</v>
      </c>
      <c r="G203" s="73">
        <f t="shared" si="350"/>
        <v>0</v>
      </c>
      <c r="H203" s="73">
        <f t="shared" si="350"/>
        <v>0</v>
      </c>
      <c r="I203" s="73">
        <f t="shared" si="350"/>
        <v>0</v>
      </c>
      <c r="J203" s="73">
        <f t="shared" si="350"/>
        <v>0</v>
      </c>
      <c r="K203" s="73">
        <f t="shared" si="350"/>
        <v>0</v>
      </c>
      <c r="L203" s="73">
        <f t="shared" si="350"/>
        <v>0</v>
      </c>
      <c r="M203" s="73">
        <f t="shared" si="350"/>
        <v>0</v>
      </c>
      <c r="N203" s="73">
        <f t="shared" si="350"/>
        <v>0</v>
      </c>
      <c r="O203" s="73">
        <f t="shared" si="350"/>
        <v>0</v>
      </c>
      <c r="P203" s="73">
        <f t="shared" si="350"/>
        <v>0</v>
      </c>
      <c r="Q203" s="73">
        <f t="shared" si="350"/>
        <v>0</v>
      </c>
      <c r="R203" s="73">
        <f t="shared" si="350"/>
        <v>0</v>
      </c>
      <c r="S203" s="73">
        <f t="shared" si="350"/>
        <v>0</v>
      </c>
      <c r="T203" s="73">
        <f t="shared" si="350"/>
        <v>0</v>
      </c>
      <c r="U203" s="73">
        <f t="shared" si="351"/>
        <v>0</v>
      </c>
      <c r="V203" s="73">
        <f t="shared" si="351"/>
        <v>0</v>
      </c>
      <c r="W203" s="73">
        <f t="shared" si="351"/>
        <v>0</v>
      </c>
      <c r="X203" s="73">
        <f t="shared" si="351"/>
        <v>0</v>
      </c>
      <c r="Y203" s="71"/>
    </row>
    <row r="204" spans="1:25" s="79" customFormat="1" ht="63.75" hidden="1" customHeight="1">
      <c r="A204" s="76"/>
      <c r="B204" s="77" t="s">
        <v>191</v>
      </c>
      <c r="C204" s="78" t="s">
        <v>192</v>
      </c>
      <c r="D204" s="59">
        <f>SUM(D205:D206)</f>
        <v>0</v>
      </c>
      <c r="E204" s="59">
        <f t="shared" ref="E204:X204" si="352">SUM(E205:E206)</f>
        <v>0</v>
      </c>
      <c r="F204" s="60">
        <f t="shared" si="352"/>
        <v>0</v>
      </c>
      <c r="G204" s="59">
        <f t="shared" si="352"/>
        <v>0</v>
      </c>
      <c r="H204" s="59">
        <f t="shared" si="352"/>
        <v>0</v>
      </c>
      <c r="I204" s="59">
        <f t="shared" si="352"/>
        <v>0</v>
      </c>
      <c r="J204" s="59">
        <f t="shared" si="352"/>
        <v>0</v>
      </c>
      <c r="K204" s="59">
        <f t="shared" si="352"/>
        <v>0</v>
      </c>
      <c r="L204" s="59">
        <f t="shared" si="352"/>
        <v>0</v>
      </c>
      <c r="M204" s="59">
        <f t="shared" si="352"/>
        <v>0</v>
      </c>
      <c r="N204" s="59">
        <f t="shared" si="352"/>
        <v>0</v>
      </c>
      <c r="O204" s="59">
        <f t="shared" si="352"/>
        <v>0</v>
      </c>
      <c r="P204" s="59">
        <f t="shared" si="352"/>
        <v>0</v>
      </c>
      <c r="Q204" s="59">
        <f t="shared" si="352"/>
        <v>0</v>
      </c>
      <c r="R204" s="59">
        <f t="shared" si="352"/>
        <v>0</v>
      </c>
      <c r="S204" s="59">
        <f t="shared" si="352"/>
        <v>0</v>
      </c>
      <c r="T204" s="59">
        <f t="shared" si="352"/>
        <v>0</v>
      </c>
      <c r="U204" s="59">
        <f t="shared" si="352"/>
        <v>0</v>
      </c>
      <c r="V204" s="59">
        <f t="shared" si="352"/>
        <v>0</v>
      </c>
      <c r="W204" s="59">
        <f t="shared" si="352"/>
        <v>0</v>
      </c>
      <c r="X204" s="59">
        <f t="shared" si="352"/>
        <v>0</v>
      </c>
      <c r="Y204" s="76"/>
    </row>
    <row r="205" spans="1:25" s="3" customFormat="1" ht="49.5" hidden="1" customHeight="1">
      <c r="A205" s="80"/>
      <c r="B205" s="49" t="s">
        <v>237</v>
      </c>
      <c r="C205" s="81"/>
      <c r="D205" s="43">
        <f>E205+J205+N205+O205+SUM(R205:V205)</f>
        <v>0</v>
      </c>
      <c r="E205" s="44">
        <f t="shared" ref="E205:E206" si="353">SUM(F205:I205)</f>
        <v>0</v>
      </c>
      <c r="F205" s="47"/>
      <c r="G205" s="48"/>
      <c r="H205" s="48"/>
      <c r="I205" s="48"/>
      <c r="J205" s="44">
        <f t="shared" ref="J205:J206" si="354">SUM(K205:M205)</f>
        <v>0</v>
      </c>
      <c r="K205" s="48"/>
      <c r="L205" s="48"/>
      <c r="M205" s="48"/>
      <c r="N205" s="48"/>
      <c r="O205" s="44">
        <f t="shared" ref="O205:O206" si="355">SUM(P205:Q205)</f>
        <v>0</v>
      </c>
      <c r="P205" s="48"/>
      <c r="Q205" s="48"/>
      <c r="R205" s="48"/>
      <c r="S205" s="48"/>
      <c r="T205" s="48"/>
      <c r="U205" s="48"/>
      <c r="V205" s="44">
        <f t="shared" ref="V205:V206" si="356">SUM(W205:X205)</f>
        <v>0</v>
      </c>
      <c r="W205" s="48"/>
      <c r="X205" s="48"/>
      <c r="Y205" s="49"/>
    </row>
    <row r="206" spans="1:25" s="3" customFormat="1" ht="15.75" hidden="1">
      <c r="A206" s="80"/>
      <c r="B206" s="42"/>
      <c r="C206" s="81"/>
      <c r="D206" s="43">
        <f t="shared" ref="D206" si="357">E206+J206+N206+O206+SUM(R206:V206)</f>
        <v>0</v>
      </c>
      <c r="E206" s="44">
        <f t="shared" si="353"/>
        <v>0</v>
      </c>
      <c r="F206" s="47"/>
      <c r="G206" s="48"/>
      <c r="H206" s="48"/>
      <c r="I206" s="48"/>
      <c r="J206" s="44">
        <f t="shared" si="354"/>
        <v>0</v>
      </c>
      <c r="K206" s="48"/>
      <c r="L206" s="48"/>
      <c r="M206" s="48"/>
      <c r="N206" s="48"/>
      <c r="O206" s="44">
        <f t="shared" si="355"/>
        <v>0</v>
      </c>
      <c r="P206" s="48"/>
      <c r="Q206" s="48"/>
      <c r="R206" s="48"/>
      <c r="S206" s="48"/>
      <c r="T206" s="48"/>
      <c r="U206" s="48"/>
      <c r="V206" s="44">
        <f t="shared" si="356"/>
        <v>0</v>
      </c>
      <c r="W206" s="48"/>
      <c r="X206" s="48"/>
      <c r="Y206" s="42"/>
    </row>
    <row r="207" spans="1:25" s="70" customFormat="1" ht="25.5" customHeight="1">
      <c r="A207" s="63" t="s">
        <v>68</v>
      </c>
      <c r="B207" s="64" t="s">
        <v>299</v>
      </c>
      <c r="C207" s="65"/>
      <c r="D207" s="66">
        <f>D208+D226+D230+D235+D243+D250+D265+D283+D287+D297+D305+D309+D317+D322+D327+D332+D337+D342+D347+D351+D355</f>
        <v>27437</v>
      </c>
      <c r="E207" s="66">
        <f t="shared" ref="E207:X207" si="358">E208+E226+E230+E235+E243+E250+E265+E283+E287+E297+E305+E309+E317+E322+E327+E332+E337+E342+E347+E351+E355</f>
        <v>2251</v>
      </c>
      <c r="F207" s="67">
        <f t="shared" si="358"/>
        <v>1774</v>
      </c>
      <c r="G207" s="66">
        <f t="shared" si="358"/>
        <v>20</v>
      </c>
      <c r="H207" s="66">
        <f t="shared" si="358"/>
        <v>285</v>
      </c>
      <c r="I207" s="66">
        <f t="shared" si="358"/>
        <v>172</v>
      </c>
      <c r="J207" s="66">
        <f t="shared" si="358"/>
        <v>3638</v>
      </c>
      <c r="K207" s="66">
        <f t="shared" si="358"/>
        <v>628</v>
      </c>
      <c r="L207" s="66">
        <f t="shared" si="358"/>
        <v>3000</v>
      </c>
      <c r="M207" s="66">
        <f t="shared" si="358"/>
        <v>10</v>
      </c>
      <c r="N207" s="66">
        <f t="shared" si="358"/>
        <v>70</v>
      </c>
      <c r="O207" s="66">
        <f t="shared" si="358"/>
        <v>9750</v>
      </c>
      <c r="P207" s="66">
        <f t="shared" si="358"/>
        <v>8177</v>
      </c>
      <c r="Q207" s="66">
        <f t="shared" si="358"/>
        <v>1573</v>
      </c>
      <c r="R207" s="66">
        <f t="shared" si="358"/>
        <v>215</v>
      </c>
      <c r="S207" s="66">
        <f t="shared" si="358"/>
        <v>7884</v>
      </c>
      <c r="T207" s="66">
        <f t="shared" si="358"/>
        <v>233</v>
      </c>
      <c r="U207" s="66">
        <f t="shared" si="358"/>
        <v>2982</v>
      </c>
      <c r="V207" s="66">
        <f t="shared" si="358"/>
        <v>414</v>
      </c>
      <c r="W207" s="66">
        <f t="shared" si="358"/>
        <v>386</v>
      </c>
      <c r="X207" s="66">
        <f t="shared" si="358"/>
        <v>28</v>
      </c>
      <c r="Y207" s="68"/>
    </row>
    <row r="208" spans="1:25" s="32" customFormat="1" ht="28.5" customHeight="1">
      <c r="A208" s="31" t="s">
        <v>3</v>
      </c>
      <c r="B208" s="743" t="s">
        <v>220</v>
      </c>
      <c r="C208" s="744"/>
      <c r="D208" s="29">
        <f>D209+D212</f>
        <v>3991</v>
      </c>
      <c r="E208" s="29">
        <f t="shared" ref="E208:X208" si="359">E209+E212</f>
        <v>493</v>
      </c>
      <c r="F208" s="30">
        <f t="shared" si="359"/>
        <v>493</v>
      </c>
      <c r="G208" s="29">
        <f t="shared" si="359"/>
        <v>0</v>
      </c>
      <c r="H208" s="29">
        <f t="shared" si="359"/>
        <v>0</v>
      </c>
      <c r="I208" s="29">
        <f t="shared" si="359"/>
        <v>0</v>
      </c>
      <c r="J208" s="29">
        <f t="shared" si="359"/>
        <v>3428</v>
      </c>
      <c r="K208" s="29">
        <f t="shared" si="359"/>
        <v>428</v>
      </c>
      <c r="L208" s="29">
        <f t="shared" si="359"/>
        <v>3000</v>
      </c>
      <c r="M208" s="29">
        <f t="shared" si="359"/>
        <v>0</v>
      </c>
      <c r="N208" s="29">
        <f t="shared" si="359"/>
        <v>70</v>
      </c>
      <c r="O208" s="29">
        <f t="shared" si="359"/>
        <v>0</v>
      </c>
      <c r="P208" s="29">
        <f t="shared" si="359"/>
        <v>0</v>
      </c>
      <c r="Q208" s="29">
        <f t="shared" si="359"/>
        <v>0</v>
      </c>
      <c r="R208" s="29">
        <f t="shared" si="359"/>
        <v>0</v>
      </c>
      <c r="S208" s="29">
        <f t="shared" si="359"/>
        <v>0</v>
      </c>
      <c r="T208" s="29">
        <f t="shared" si="359"/>
        <v>0</v>
      </c>
      <c r="U208" s="29">
        <f t="shared" si="359"/>
        <v>0</v>
      </c>
      <c r="V208" s="29">
        <f t="shared" si="359"/>
        <v>0</v>
      </c>
      <c r="W208" s="29">
        <f t="shared" si="359"/>
        <v>0</v>
      </c>
      <c r="X208" s="29">
        <f t="shared" si="359"/>
        <v>0</v>
      </c>
      <c r="Y208" s="31"/>
    </row>
    <row r="209" spans="1:25" s="75" customFormat="1" ht="21.75" customHeight="1">
      <c r="A209" s="71">
        <v>1</v>
      </c>
      <c r="B209" s="100" t="s">
        <v>221</v>
      </c>
      <c r="C209" s="72" t="s">
        <v>159</v>
      </c>
      <c r="D209" s="73">
        <f>D210</f>
        <v>73</v>
      </c>
      <c r="E209" s="73">
        <f t="shared" ref="E209:X210" si="360">E210</f>
        <v>73</v>
      </c>
      <c r="F209" s="74">
        <f t="shared" si="360"/>
        <v>73</v>
      </c>
      <c r="G209" s="73">
        <f t="shared" si="360"/>
        <v>0</v>
      </c>
      <c r="H209" s="73">
        <f t="shared" si="360"/>
        <v>0</v>
      </c>
      <c r="I209" s="73">
        <f t="shared" si="360"/>
        <v>0</v>
      </c>
      <c r="J209" s="73">
        <f t="shared" si="360"/>
        <v>0</v>
      </c>
      <c r="K209" s="73">
        <f t="shared" si="360"/>
        <v>0</v>
      </c>
      <c r="L209" s="73">
        <f t="shared" si="360"/>
        <v>0</v>
      </c>
      <c r="M209" s="73">
        <f t="shared" si="360"/>
        <v>0</v>
      </c>
      <c r="N209" s="73">
        <f t="shared" si="360"/>
        <v>0</v>
      </c>
      <c r="O209" s="73">
        <f t="shared" si="360"/>
        <v>0</v>
      </c>
      <c r="P209" s="73">
        <f t="shared" si="360"/>
        <v>0</v>
      </c>
      <c r="Q209" s="73">
        <f t="shared" si="360"/>
        <v>0</v>
      </c>
      <c r="R209" s="73">
        <f t="shared" si="360"/>
        <v>0</v>
      </c>
      <c r="S209" s="73">
        <f t="shared" si="360"/>
        <v>0</v>
      </c>
      <c r="T209" s="73">
        <f t="shared" si="360"/>
        <v>0</v>
      </c>
      <c r="U209" s="73">
        <f t="shared" si="360"/>
        <v>0</v>
      </c>
      <c r="V209" s="73">
        <f t="shared" si="360"/>
        <v>0</v>
      </c>
      <c r="W209" s="73">
        <f t="shared" si="360"/>
        <v>0</v>
      </c>
      <c r="X209" s="73">
        <f t="shared" si="360"/>
        <v>0</v>
      </c>
      <c r="Y209" s="71"/>
    </row>
    <row r="210" spans="1:25" s="79" customFormat="1" ht="30">
      <c r="A210" s="76"/>
      <c r="B210" s="77" t="s">
        <v>171</v>
      </c>
      <c r="C210" s="78" t="s">
        <v>172</v>
      </c>
      <c r="D210" s="59">
        <f>D211</f>
        <v>73</v>
      </c>
      <c r="E210" s="59">
        <f t="shared" si="360"/>
        <v>73</v>
      </c>
      <c r="F210" s="60">
        <f t="shared" si="360"/>
        <v>73</v>
      </c>
      <c r="G210" s="59">
        <f t="shared" si="360"/>
        <v>0</v>
      </c>
      <c r="H210" s="59">
        <f t="shared" si="360"/>
        <v>0</v>
      </c>
      <c r="I210" s="59">
        <f t="shared" si="360"/>
        <v>0</v>
      </c>
      <c r="J210" s="59">
        <f t="shared" si="360"/>
        <v>0</v>
      </c>
      <c r="K210" s="59">
        <f t="shared" si="360"/>
        <v>0</v>
      </c>
      <c r="L210" s="59">
        <f t="shared" si="360"/>
        <v>0</v>
      </c>
      <c r="M210" s="59">
        <f t="shared" si="360"/>
        <v>0</v>
      </c>
      <c r="N210" s="59">
        <f t="shared" si="360"/>
        <v>0</v>
      </c>
      <c r="O210" s="59">
        <f t="shared" si="360"/>
        <v>0</v>
      </c>
      <c r="P210" s="59">
        <f t="shared" si="360"/>
        <v>0</v>
      </c>
      <c r="Q210" s="59">
        <f t="shared" si="360"/>
        <v>0</v>
      </c>
      <c r="R210" s="59">
        <f t="shared" si="360"/>
        <v>0</v>
      </c>
      <c r="S210" s="59">
        <f t="shared" si="360"/>
        <v>0</v>
      </c>
      <c r="T210" s="59">
        <f t="shared" si="360"/>
        <v>0</v>
      </c>
      <c r="U210" s="59">
        <f t="shared" si="360"/>
        <v>0</v>
      </c>
      <c r="V210" s="59">
        <f t="shared" si="360"/>
        <v>0</v>
      </c>
      <c r="W210" s="59">
        <f t="shared" si="360"/>
        <v>0</v>
      </c>
      <c r="X210" s="59">
        <f t="shared" si="360"/>
        <v>0</v>
      </c>
      <c r="Y210" s="76"/>
    </row>
    <row r="211" spans="1:25" s="118" customFormat="1" ht="26.25" customHeight="1">
      <c r="A211" s="112"/>
      <c r="B211" s="113" t="s">
        <v>222</v>
      </c>
      <c r="C211" s="114"/>
      <c r="D211" s="115">
        <f>E211+J211+N211+O211+SUM(R211:V211)</f>
        <v>73</v>
      </c>
      <c r="E211" s="116">
        <f>SUM(F211:I211)</f>
        <v>73</v>
      </c>
      <c r="F211" s="117">
        <v>73</v>
      </c>
      <c r="G211" s="117"/>
      <c r="H211" s="117"/>
      <c r="I211" s="117"/>
      <c r="J211" s="116">
        <f>SUM(K211:M211)</f>
        <v>0</v>
      </c>
      <c r="K211" s="117"/>
      <c r="L211" s="117"/>
      <c r="M211" s="117"/>
      <c r="N211" s="117"/>
      <c r="O211" s="116">
        <f>SUM(P211:Q211)</f>
        <v>0</v>
      </c>
      <c r="P211" s="117"/>
      <c r="Q211" s="117"/>
      <c r="R211" s="117"/>
      <c r="S211" s="117"/>
      <c r="T211" s="117"/>
      <c r="U211" s="117"/>
      <c r="V211" s="116">
        <f>SUM(W211:X211)</f>
        <v>0</v>
      </c>
      <c r="W211" s="117"/>
      <c r="X211" s="117"/>
      <c r="Y211" s="112"/>
    </row>
    <row r="212" spans="1:25" s="75" customFormat="1" ht="26.25" customHeight="1">
      <c r="A212" s="71">
        <v>2</v>
      </c>
      <c r="B212" s="100" t="s">
        <v>223</v>
      </c>
      <c r="C212" s="72" t="s">
        <v>176</v>
      </c>
      <c r="D212" s="73">
        <f>D213+D215+D218+D221</f>
        <v>3918</v>
      </c>
      <c r="E212" s="73">
        <f t="shared" ref="E212:X212" si="361">E213+E215+E218+E221</f>
        <v>420</v>
      </c>
      <c r="F212" s="74">
        <f t="shared" si="361"/>
        <v>420</v>
      </c>
      <c r="G212" s="73">
        <f t="shared" si="361"/>
        <v>0</v>
      </c>
      <c r="H212" s="73">
        <f t="shared" si="361"/>
        <v>0</v>
      </c>
      <c r="I212" s="73">
        <f t="shared" si="361"/>
        <v>0</v>
      </c>
      <c r="J212" s="73">
        <f t="shared" si="361"/>
        <v>3428</v>
      </c>
      <c r="K212" s="73">
        <f t="shared" si="361"/>
        <v>428</v>
      </c>
      <c r="L212" s="73">
        <f t="shared" si="361"/>
        <v>3000</v>
      </c>
      <c r="M212" s="73">
        <f t="shared" si="361"/>
        <v>0</v>
      </c>
      <c r="N212" s="73">
        <f t="shared" si="361"/>
        <v>70</v>
      </c>
      <c r="O212" s="73">
        <f t="shared" si="361"/>
        <v>0</v>
      </c>
      <c r="P212" s="73">
        <f t="shared" si="361"/>
        <v>0</v>
      </c>
      <c r="Q212" s="73">
        <f t="shared" si="361"/>
        <v>0</v>
      </c>
      <c r="R212" s="73">
        <f t="shared" si="361"/>
        <v>0</v>
      </c>
      <c r="S212" s="73">
        <f t="shared" si="361"/>
        <v>0</v>
      </c>
      <c r="T212" s="73">
        <f t="shared" si="361"/>
        <v>0</v>
      </c>
      <c r="U212" s="73">
        <f t="shared" si="361"/>
        <v>0</v>
      </c>
      <c r="V212" s="73">
        <f t="shared" si="361"/>
        <v>0</v>
      </c>
      <c r="W212" s="73">
        <f t="shared" si="361"/>
        <v>0</v>
      </c>
      <c r="X212" s="73">
        <f t="shared" si="361"/>
        <v>0</v>
      </c>
      <c r="Y212" s="71"/>
    </row>
    <row r="213" spans="1:25" s="79" customFormat="1" ht="36.75" customHeight="1">
      <c r="A213" s="76" t="s">
        <v>12</v>
      </c>
      <c r="B213" s="77" t="s">
        <v>177</v>
      </c>
      <c r="C213" s="78" t="s">
        <v>178</v>
      </c>
      <c r="D213" s="59">
        <f>D214</f>
        <v>3000</v>
      </c>
      <c r="E213" s="59">
        <f t="shared" ref="E213:X213" si="362">E214</f>
        <v>0</v>
      </c>
      <c r="F213" s="60">
        <f t="shared" si="362"/>
        <v>0</v>
      </c>
      <c r="G213" s="59">
        <f t="shared" si="362"/>
        <v>0</v>
      </c>
      <c r="H213" s="59">
        <f t="shared" si="362"/>
        <v>0</v>
      </c>
      <c r="I213" s="59">
        <f t="shared" si="362"/>
        <v>0</v>
      </c>
      <c r="J213" s="59">
        <f t="shared" si="362"/>
        <v>3000</v>
      </c>
      <c r="K213" s="59">
        <f t="shared" si="362"/>
        <v>0</v>
      </c>
      <c r="L213" s="59">
        <f t="shared" si="362"/>
        <v>3000</v>
      </c>
      <c r="M213" s="59">
        <f t="shared" si="362"/>
        <v>0</v>
      </c>
      <c r="N213" s="59">
        <f t="shared" si="362"/>
        <v>0</v>
      </c>
      <c r="O213" s="59">
        <f t="shared" si="362"/>
        <v>0</v>
      </c>
      <c r="P213" s="59">
        <f t="shared" si="362"/>
        <v>0</v>
      </c>
      <c r="Q213" s="59">
        <f t="shared" si="362"/>
        <v>0</v>
      </c>
      <c r="R213" s="59">
        <f t="shared" si="362"/>
        <v>0</v>
      </c>
      <c r="S213" s="59">
        <f t="shared" si="362"/>
        <v>0</v>
      </c>
      <c r="T213" s="59">
        <f t="shared" si="362"/>
        <v>0</v>
      </c>
      <c r="U213" s="59">
        <f t="shared" si="362"/>
        <v>0</v>
      </c>
      <c r="V213" s="59">
        <f t="shared" si="362"/>
        <v>0</v>
      </c>
      <c r="W213" s="59">
        <f t="shared" si="362"/>
        <v>0</v>
      </c>
      <c r="X213" s="59">
        <f t="shared" si="362"/>
        <v>0</v>
      </c>
      <c r="Y213" s="76"/>
    </row>
    <row r="214" spans="1:25" s="3" customFormat="1" ht="45.75" customHeight="1">
      <c r="A214" s="80"/>
      <c r="B214" s="42" t="s">
        <v>224</v>
      </c>
      <c r="C214" s="81"/>
      <c r="D214" s="43">
        <f>E214+J214+N214+O214+SUM(R214:V214)</f>
        <v>3000</v>
      </c>
      <c r="E214" s="44">
        <f>SUM(F214:I214)</f>
        <v>0</v>
      </c>
      <c r="F214" s="47"/>
      <c r="G214" s="48"/>
      <c r="H214" s="48"/>
      <c r="I214" s="48"/>
      <c r="J214" s="44">
        <f t="shared" ref="J214" si="363">SUM(K214:M214)</f>
        <v>3000</v>
      </c>
      <c r="K214" s="48"/>
      <c r="L214" s="48">
        <v>3000</v>
      </c>
      <c r="M214" s="48"/>
      <c r="N214" s="48"/>
      <c r="O214" s="44">
        <f t="shared" ref="O214" si="364">SUM(P214:Q214)</f>
        <v>0</v>
      </c>
      <c r="P214" s="48"/>
      <c r="Q214" s="48"/>
      <c r="R214" s="48"/>
      <c r="S214" s="48"/>
      <c r="T214" s="48"/>
      <c r="U214" s="48"/>
      <c r="V214" s="44">
        <f t="shared" ref="V214" si="365">SUM(W214:X214)</f>
        <v>0</v>
      </c>
      <c r="W214" s="48"/>
      <c r="X214" s="48"/>
      <c r="Y214" s="80"/>
    </row>
    <row r="215" spans="1:25" s="79" customFormat="1" ht="102" customHeight="1">
      <c r="A215" s="76" t="s">
        <v>13</v>
      </c>
      <c r="B215" s="77" t="s">
        <v>179</v>
      </c>
      <c r="C215" s="78" t="s">
        <v>180</v>
      </c>
      <c r="D215" s="59">
        <f>SUM(D216:D217)</f>
        <v>428</v>
      </c>
      <c r="E215" s="59">
        <f t="shared" ref="E215:X215" si="366">SUM(E216:E217)</f>
        <v>0</v>
      </c>
      <c r="F215" s="60">
        <f t="shared" si="366"/>
        <v>0</v>
      </c>
      <c r="G215" s="59">
        <f t="shared" si="366"/>
        <v>0</v>
      </c>
      <c r="H215" s="59">
        <f t="shared" si="366"/>
        <v>0</v>
      </c>
      <c r="I215" s="59">
        <f t="shared" si="366"/>
        <v>0</v>
      </c>
      <c r="J215" s="59">
        <f t="shared" si="366"/>
        <v>428</v>
      </c>
      <c r="K215" s="59">
        <f t="shared" si="366"/>
        <v>428</v>
      </c>
      <c r="L215" s="59">
        <f t="shared" si="366"/>
        <v>0</v>
      </c>
      <c r="M215" s="59">
        <f t="shared" si="366"/>
        <v>0</v>
      </c>
      <c r="N215" s="59">
        <f t="shared" si="366"/>
        <v>0</v>
      </c>
      <c r="O215" s="59">
        <f t="shared" si="366"/>
        <v>0</v>
      </c>
      <c r="P215" s="59">
        <f t="shared" si="366"/>
        <v>0</v>
      </c>
      <c r="Q215" s="59">
        <f t="shared" si="366"/>
        <v>0</v>
      </c>
      <c r="R215" s="59">
        <f t="shared" si="366"/>
        <v>0</v>
      </c>
      <c r="S215" s="59">
        <f t="shared" si="366"/>
        <v>0</v>
      </c>
      <c r="T215" s="59">
        <f t="shared" si="366"/>
        <v>0</v>
      </c>
      <c r="U215" s="59">
        <f t="shared" si="366"/>
        <v>0</v>
      </c>
      <c r="V215" s="59">
        <f t="shared" si="366"/>
        <v>0</v>
      </c>
      <c r="W215" s="59">
        <f t="shared" si="366"/>
        <v>0</v>
      </c>
      <c r="X215" s="59">
        <f t="shared" si="366"/>
        <v>0</v>
      </c>
      <c r="Y215" s="76"/>
    </row>
    <row r="216" spans="1:25" s="3" customFormat="1" ht="39" customHeight="1">
      <c r="A216" s="82"/>
      <c r="B216" s="83" t="s">
        <v>225</v>
      </c>
      <c r="C216" s="84"/>
      <c r="D216" s="43">
        <f t="shared" ref="D216:D217" si="367">E216+J216+N216+O216+SUM(R216:V216)</f>
        <v>350</v>
      </c>
      <c r="E216" s="44">
        <f t="shared" ref="E216:E217" si="368">SUM(F216:I216)</f>
        <v>0</v>
      </c>
      <c r="F216" s="85"/>
      <c r="G216" s="86"/>
      <c r="H216" s="86"/>
      <c r="I216" s="86"/>
      <c r="J216" s="44">
        <f t="shared" ref="J216:J217" si="369">SUM(K216:M216)</f>
        <v>350</v>
      </c>
      <c r="K216" s="48">
        <v>350</v>
      </c>
      <c r="L216" s="48"/>
      <c r="M216" s="48"/>
      <c r="N216" s="48"/>
      <c r="O216" s="44">
        <f t="shared" ref="O216:O217" si="370">SUM(P216:Q216)</f>
        <v>0</v>
      </c>
      <c r="P216" s="48"/>
      <c r="Q216" s="48"/>
      <c r="R216" s="48"/>
      <c r="S216" s="48"/>
      <c r="T216" s="48"/>
      <c r="U216" s="48"/>
      <c r="V216" s="44">
        <f t="shared" ref="V216:V217" si="371">SUM(W216:X216)</f>
        <v>0</v>
      </c>
      <c r="W216" s="86"/>
      <c r="X216" s="86"/>
      <c r="Y216" s="82"/>
    </row>
    <row r="217" spans="1:25" s="118" customFormat="1" ht="32.25" customHeight="1">
      <c r="A217" s="119"/>
      <c r="B217" s="120" t="s">
        <v>226</v>
      </c>
      <c r="C217" s="121"/>
      <c r="D217" s="115">
        <f t="shared" si="367"/>
        <v>78</v>
      </c>
      <c r="E217" s="116">
        <f t="shared" si="368"/>
        <v>0</v>
      </c>
      <c r="F217" s="122"/>
      <c r="G217" s="122"/>
      <c r="H217" s="122"/>
      <c r="I217" s="122"/>
      <c r="J217" s="116">
        <f t="shared" si="369"/>
        <v>78</v>
      </c>
      <c r="K217" s="117">
        <v>78</v>
      </c>
      <c r="L217" s="117"/>
      <c r="M217" s="117"/>
      <c r="N217" s="117"/>
      <c r="O217" s="116">
        <f t="shared" si="370"/>
        <v>0</v>
      </c>
      <c r="P217" s="117"/>
      <c r="Q217" s="117"/>
      <c r="R217" s="117"/>
      <c r="S217" s="117"/>
      <c r="T217" s="117"/>
      <c r="U217" s="117"/>
      <c r="V217" s="116">
        <f t="shared" si="371"/>
        <v>0</v>
      </c>
      <c r="W217" s="122"/>
      <c r="X217" s="122"/>
      <c r="Y217" s="119"/>
    </row>
    <row r="218" spans="1:25" s="79" customFormat="1" ht="66.75" customHeight="1">
      <c r="A218" s="76" t="s">
        <v>16</v>
      </c>
      <c r="B218" s="77" t="s">
        <v>185</v>
      </c>
      <c r="C218" s="78" t="s">
        <v>186</v>
      </c>
      <c r="D218" s="59">
        <f>SUM(D219:D220)</f>
        <v>70</v>
      </c>
      <c r="E218" s="59">
        <f t="shared" ref="E218:X218" si="372">SUM(E219:E220)</f>
        <v>0</v>
      </c>
      <c r="F218" s="60">
        <f t="shared" si="372"/>
        <v>0</v>
      </c>
      <c r="G218" s="59">
        <f t="shared" si="372"/>
        <v>0</v>
      </c>
      <c r="H218" s="59">
        <f t="shared" si="372"/>
        <v>0</v>
      </c>
      <c r="I218" s="59">
        <f t="shared" si="372"/>
        <v>0</v>
      </c>
      <c r="J218" s="59">
        <f t="shared" si="372"/>
        <v>0</v>
      </c>
      <c r="K218" s="59">
        <f t="shared" si="372"/>
        <v>0</v>
      </c>
      <c r="L218" s="59">
        <f t="shared" si="372"/>
        <v>0</v>
      </c>
      <c r="M218" s="59">
        <f t="shared" si="372"/>
        <v>0</v>
      </c>
      <c r="N218" s="59">
        <f t="shared" si="372"/>
        <v>70</v>
      </c>
      <c r="O218" s="59">
        <f t="shared" si="372"/>
        <v>0</v>
      </c>
      <c r="P218" s="59">
        <f t="shared" si="372"/>
        <v>0</v>
      </c>
      <c r="Q218" s="59">
        <f t="shared" si="372"/>
        <v>0</v>
      </c>
      <c r="R218" s="59">
        <f t="shared" si="372"/>
        <v>0</v>
      </c>
      <c r="S218" s="59">
        <f t="shared" si="372"/>
        <v>0</v>
      </c>
      <c r="T218" s="59">
        <f t="shared" si="372"/>
        <v>0</v>
      </c>
      <c r="U218" s="59">
        <f t="shared" si="372"/>
        <v>0</v>
      </c>
      <c r="V218" s="59">
        <f t="shared" si="372"/>
        <v>0</v>
      </c>
      <c r="W218" s="59">
        <f t="shared" si="372"/>
        <v>0</v>
      </c>
      <c r="X218" s="59">
        <f t="shared" si="372"/>
        <v>0</v>
      </c>
      <c r="Y218" s="76"/>
    </row>
    <row r="219" spans="1:25" s="118" customFormat="1" ht="59.25" customHeight="1">
      <c r="A219" s="112"/>
      <c r="B219" s="113" t="s">
        <v>227</v>
      </c>
      <c r="C219" s="114"/>
      <c r="D219" s="115">
        <f t="shared" ref="D219:D220" si="373">E219+J219+N219+O219+SUM(R219:V219)</f>
        <v>60</v>
      </c>
      <c r="E219" s="116">
        <f t="shared" ref="E219:E220" si="374">SUM(F219:I219)</f>
        <v>0</v>
      </c>
      <c r="F219" s="117"/>
      <c r="G219" s="117"/>
      <c r="H219" s="117"/>
      <c r="I219" s="117"/>
      <c r="J219" s="116">
        <f t="shared" ref="J219:J220" si="375">SUM(K219:M219)</f>
        <v>0</v>
      </c>
      <c r="K219" s="117"/>
      <c r="L219" s="117"/>
      <c r="M219" s="117"/>
      <c r="N219" s="117">
        <v>60</v>
      </c>
      <c r="O219" s="116">
        <f t="shared" ref="O219:O220" si="376">SUM(P219:Q219)</f>
        <v>0</v>
      </c>
      <c r="P219" s="117"/>
      <c r="Q219" s="117"/>
      <c r="R219" s="117"/>
      <c r="S219" s="117"/>
      <c r="T219" s="117"/>
      <c r="U219" s="117"/>
      <c r="V219" s="116">
        <f t="shared" ref="V219:V220" si="377">SUM(W219:X219)</f>
        <v>0</v>
      </c>
      <c r="W219" s="117"/>
      <c r="X219" s="117"/>
      <c r="Y219" s="113" t="s">
        <v>228</v>
      </c>
    </row>
    <row r="220" spans="1:25" s="118" customFormat="1" ht="61.5" customHeight="1">
      <c r="A220" s="112"/>
      <c r="B220" s="113" t="s">
        <v>229</v>
      </c>
      <c r="C220" s="114"/>
      <c r="D220" s="115">
        <f t="shared" si="373"/>
        <v>10</v>
      </c>
      <c r="E220" s="116">
        <f t="shared" si="374"/>
        <v>0</v>
      </c>
      <c r="F220" s="117"/>
      <c r="G220" s="117"/>
      <c r="H220" s="117"/>
      <c r="I220" s="117"/>
      <c r="J220" s="116">
        <f t="shared" si="375"/>
        <v>0</v>
      </c>
      <c r="K220" s="117"/>
      <c r="L220" s="117"/>
      <c r="M220" s="117"/>
      <c r="N220" s="117">
        <v>10</v>
      </c>
      <c r="O220" s="116">
        <f t="shared" si="376"/>
        <v>0</v>
      </c>
      <c r="P220" s="117"/>
      <c r="Q220" s="117"/>
      <c r="R220" s="117"/>
      <c r="S220" s="117"/>
      <c r="T220" s="117"/>
      <c r="U220" s="117"/>
      <c r="V220" s="116">
        <f t="shared" si="377"/>
        <v>0</v>
      </c>
      <c r="W220" s="117"/>
      <c r="X220" s="117"/>
      <c r="Y220" s="113" t="s">
        <v>230</v>
      </c>
    </row>
    <row r="221" spans="1:25" s="79" customFormat="1" ht="75">
      <c r="A221" s="76" t="s">
        <v>26</v>
      </c>
      <c r="B221" s="77" t="s">
        <v>191</v>
      </c>
      <c r="C221" s="78" t="s">
        <v>192</v>
      </c>
      <c r="D221" s="59">
        <f>SUM(D222:D225)</f>
        <v>420</v>
      </c>
      <c r="E221" s="59">
        <f t="shared" ref="E221:X221" si="378">SUM(E222:E225)</f>
        <v>420</v>
      </c>
      <c r="F221" s="60">
        <f t="shared" si="378"/>
        <v>420</v>
      </c>
      <c r="G221" s="59">
        <f t="shared" si="378"/>
        <v>0</v>
      </c>
      <c r="H221" s="59">
        <f t="shared" si="378"/>
        <v>0</v>
      </c>
      <c r="I221" s="59">
        <f t="shared" si="378"/>
        <v>0</v>
      </c>
      <c r="J221" s="59">
        <f t="shared" si="378"/>
        <v>0</v>
      </c>
      <c r="K221" s="59">
        <f t="shared" si="378"/>
        <v>0</v>
      </c>
      <c r="L221" s="59">
        <f t="shared" si="378"/>
        <v>0</v>
      </c>
      <c r="M221" s="59">
        <f t="shared" si="378"/>
        <v>0</v>
      </c>
      <c r="N221" s="59">
        <f t="shared" si="378"/>
        <v>0</v>
      </c>
      <c r="O221" s="59">
        <f t="shared" si="378"/>
        <v>0</v>
      </c>
      <c r="P221" s="59">
        <f t="shared" si="378"/>
        <v>0</v>
      </c>
      <c r="Q221" s="59">
        <f t="shared" si="378"/>
        <v>0</v>
      </c>
      <c r="R221" s="59">
        <f t="shared" si="378"/>
        <v>0</v>
      </c>
      <c r="S221" s="59">
        <f t="shared" si="378"/>
        <v>0</v>
      </c>
      <c r="T221" s="59">
        <f t="shared" si="378"/>
        <v>0</v>
      </c>
      <c r="U221" s="59">
        <f t="shared" si="378"/>
        <v>0</v>
      </c>
      <c r="V221" s="59">
        <f t="shared" si="378"/>
        <v>0</v>
      </c>
      <c r="W221" s="59">
        <f t="shared" si="378"/>
        <v>0</v>
      </c>
      <c r="X221" s="59">
        <f t="shared" si="378"/>
        <v>0</v>
      </c>
      <c r="Y221" s="76"/>
    </row>
    <row r="222" spans="1:25" s="3" customFormat="1" ht="59.25" customHeight="1">
      <c r="A222" s="80"/>
      <c r="B222" s="42" t="s">
        <v>231</v>
      </c>
      <c r="C222" s="81"/>
      <c r="D222" s="43">
        <f t="shared" ref="D222:D225" si="379">E222+J222+N222+O222+SUM(R222:V222)</f>
        <v>134</v>
      </c>
      <c r="E222" s="44">
        <f t="shared" ref="E222:E225" si="380">SUM(F222:I222)</f>
        <v>134</v>
      </c>
      <c r="F222" s="47">
        <v>134</v>
      </c>
      <c r="G222" s="48"/>
      <c r="H222" s="48"/>
      <c r="I222" s="48"/>
      <c r="J222" s="44">
        <f t="shared" ref="J222:J225" si="381">SUM(K222:M222)</f>
        <v>0</v>
      </c>
      <c r="K222" s="48"/>
      <c r="L222" s="48"/>
      <c r="M222" s="48"/>
      <c r="N222" s="48"/>
      <c r="O222" s="44">
        <f t="shared" ref="O222:O225" si="382">SUM(P222:Q222)</f>
        <v>0</v>
      </c>
      <c r="P222" s="48"/>
      <c r="Q222" s="48"/>
      <c r="R222" s="48"/>
      <c r="S222" s="48"/>
      <c r="T222" s="48"/>
      <c r="U222" s="48"/>
      <c r="V222" s="44">
        <f t="shared" ref="V222:V225" si="383">SUM(W222:X222)</f>
        <v>0</v>
      </c>
      <c r="W222" s="48"/>
      <c r="X222" s="48"/>
      <c r="Y222" s="80"/>
    </row>
    <row r="223" spans="1:25" s="118" customFormat="1" ht="78" customHeight="1">
      <c r="A223" s="112"/>
      <c r="B223" s="113" t="s">
        <v>232</v>
      </c>
      <c r="C223" s="114"/>
      <c r="D223" s="115">
        <f t="shared" si="379"/>
        <v>134</v>
      </c>
      <c r="E223" s="116">
        <f t="shared" si="380"/>
        <v>134</v>
      </c>
      <c r="F223" s="117">
        <v>134</v>
      </c>
      <c r="G223" s="117"/>
      <c r="H223" s="117"/>
      <c r="I223" s="117"/>
      <c r="J223" s="116">
        <f t="shared" si="381"/>
        <v>0</v>
      </c>
      <c r="K223" s="117"/>
      <c r="L223" s="117"/>
      <c r="M223" s="117"/>
      <c r="N223" s="117"/>
      <c r="O223" s="116">
        <f t="shared" si="382"/>
        <v>0</v>
      </c>
      <c r="P223" s="117"/>
      <c r="Q223" s="117"/>
      <c r="R223" s="117"/>
      <c r="S223" s="117"/>
      <c r="T223" s="117"/>
      <c r="U223" s="117"/>
      <c r="V223" s="116">
        <f t="shared" si="383"/>
        <v>0</v>
      </c>
      <c r="W223" s="117"/>
      <c r="X223" s="117"/>
      <c r="Y223" s="112"/>
    </row>
    <row r="224" spans="1:25" s="118" customFormat="1" ht="62.25" customHeight="1">
      <c r="A224" s="112"/>
      <c r="B224" s="113" t="s">
        <v>233</v>
      </c>
      <c r="C224" s="114"/>
      <c r="D224" s="115">
        <f t="shared" si="379"/>
        <v>100</v>
      </c>
      <c r="E224" s="116">
        <f t="shared" si="380"/>
        <v>100</v>
      </c>
      <c r="F224" s="117">
        <v>100</v>
      </c>
      <c r="G224" s="117"/>
      <c r="H224" s="117"/>
      <c r="I224" s="117"/>
      <c r="J224" s="116">
        <f t="shared" si="381"/>
        <v>0</v>
      </c>
      <c r="K224" s="117"/>
      <c r="L224" s="117"/>
      <c r="M224" s="117"/>
      <c r="N224" s="117"/>
      <c r="O224" s="116">
        <f t="shared" si="382"/>
        <v>0</v>
      </c>
      <c r="P224" s="117"/>
      <c r="Q224" s="117"/>
      <c r="R224" s="117"/>
      <c r="S224" s="117"/>
      <c r="T224" s="117"/>
      <c r="U224" s="117"/>
      <c r="V224" s="116">
        <f t="shared" si="383"/>
        <v>0</v>
      </c>
      <c r="W224" s="117"/>
      <c r="X224" s="117"/>
      <c r="Y224" s="112"/>
    </row>
    <row r="225" spans="1:25" s="118" customFormat="1" ht="57" customHeight="1">
      <c r="A225" s="112"/>
      <c r="B225" s="113" t="s">
        <v>234</v>
      </c>
      <c r="C225" s="114"/>
      <c r="D225" s="115">
        <f t="shared" si="379"/>
        <v>52</v>
      </c>
      <c r="E225" s="116">
        <f t="shared" si="380"/>
        <v>52</v>
      </c>
      <c r="F225" s="117">
        <v>52</v>
      </c>
      <c r="G225" s="117"/>
      <c r="H225" s="117"/>
      <c r="I225" s="117"/>
      <c r="J225" s="116">
        <f t="shared" si="381"/>
        <v>0</v>
      </c>
      <c r="K225" s="117"/>
      <c r="L225" s="117"/>
      <c r="M225" s="117"/>
      <c r="N225" s="117"/>
      <c r="O225" s="116">
        <f t="shared" si="382"/>
        <v>0</v>
      </c>
      <c r="P225" s="117"/>
      <c r="Q225" s="117"/>
      <c r="R225" s="117"/>
      <c r="S225" s="117"/>
      <c r="T225" s="117"/>
      <c r="U225" s="117"/>
      <c r="V225" s="116">
        <f t="shared" si="383"/>
        <v>0</v>
      </c>
      <c r="W225" s="117"/>
      <c r="X225" s="117"/>
      <c r="Y225" s="112"/>
    </row>
    <row r="226" spans="1:25" s="32" customFormat="1" ht="14.25">
      <c r="A226" s="31" t="s">
        <v>5</v>
      </c>
      <c r="B226" s="31" t="s">
        <v>235</v>
      </c>
      <c r="C226" s="28"/>
      <c r="D226" s="29">
        <f>D227</f>
        <v>94</v>
      </c>
      <c r="E226" s="29">
        <f t="shared" ref="E226:X228" si="384">E227</f>
        <v>94</v>
      </c>
      <c r="F226" s="30">
        <f t="shared" si="384"/>
        <v>94</v>
      </c>
      <c r="G226" s="29">
        <f t="shared" si="384"/>
        <v>0</v>
      </c>
      <c r="H226" s="29">
        <f t="shared" si="384"/>
        <v>0</v>
      </c>
      <c r="I226" s="29">
        <f t="shared" si="384"/>
        <v>0</v>
      </c>
      <c r="J226" s="29">
        <f t="shared" si="384"/>
        <v>0</v>
      </c>
      <c r="K226" s="29">
        <f t="shared" si="384"/>
        <v>0</v>
      </c>
      <c r="L226" s="29">
        <f t="shared" si="384"/>
        <v>0</v>
      </c>
      <c r="M226" s="29">
        <f t="shared" si="384"/>
        <v>0</v>
      </c>
      <c r="N226" s="29">
        <f t="shared" si="384"/>
        <v>0</v>
      </c>
      <c r="O226" s="29">
        <f t="shared" si="384"/>
        <v>0</v>
      </c>
      <c r="P226" s="29">
        <f t="shared" si="384"/>
        <v>0</v>
      </c>
      <c r="Q226" s="29">
        <f t="shared" si="384"/>
        <v>0</v>
      </c>
      <c r="R226" s="29">
        <f t="shared" si="384"/>
        <v>0</v>
      </c>
      <c r="S226" s="29">
        <f t="shared" si="384"/>
        <v>0</v>
      </c>
      <c r="T226" s="29">
        <f t="shared" si="384"/>
        <v>0</v>
      </c>
      <c r="U226" s="29">
        <f t="shared" si="384"/>
        <v>0</v>
      </c>
      <c r="V226" s="29">
        <f t="shared" si="384"/>
        <v>0</v>
      </c>
      <c r="W226" s="29">
        <f t="shared" si="384"/>
        <v>0</v>
      </c>
      <c r="X226" s="29">
        <f t="shared" si="384"/>
        <v>0</v>
      </c>
      <c r="Y226" s="31"/>
    </row>
    <row r="227" spans="1:25" s="75" customFormat="1" ht="22.5" customHeight="1">
      <c r="A227" s="71">
        <v>1</v>
      </c>
      <c r="B227" s="100" t="s">
        <v>223</v>
      </c>
      <c r="C227" s="72" t="s">
        <v>176</v>
      </c>
      <c r="D227" s="73">
        <f>D228</f>
        <v>94</v>
      </c>
      <c r="E227" s="73">
        <f t="shared" si="384"/>
        <v>94</v>
      </c>
      <c r="F227" s="74">
        <f t="shared" si="384"/>
        <v>94</v>
      </c>
      <c r="G227" s="73">
        <f t="shared" si="384"/>
        <v>0</v>
      </c>
      <c r="H227" s="73">
        <f t="shared" si="384"/>
        <v>0</v>
      </c>
      <c r="I227" s="73">
        <f t="shared" si="384"/>
        <v>0</v>
      </c>
      <c r="J227" s="73">
        <f t="shared" si="384"/>
        <v>0</v>
      </c>
      <c r="K227" s="73">
        <f t="shared" si="384"/>
        <v>0</v>
      </c>
      <c r="L227" s="73">
        <f t="shared" si="384"/>
        <v>0</v>
      </c>
      <c r="M227" s="73">
        <f t="shared" si="384"/>
        <v>0</v>
      </c>
      <c r="N227" s="73">
        <f t="shared" si="384"/>
        <v>0</v>
      </c>
      <c r="O227" s="73">
        <f t="shared" si="384"/>
        <v>0</v>
      </c>
      <c r="P227" s="73">
        <f t="shared" si="384"/>
        <v>0</v>
      </c>
      <c r="Q227" s="73">
        <f t="shared" si="384"/>
        <v>0</v>
      </c>
      <c r="R227" s="73">
        <f t="shared" si="384"/>
        <v>0</v>
      </c>
      <c r="S227" s="73">
        <f t="shared" si="384"/>
        <v>0</v>
      </c>
      <c r="T227" s="73">
        <f t="shared" si="384"/>
        <v>0</v>
      </c>
      <c r="U227" s="73">
        <f t="shared" si="384"/>
        <v>0</v>
      </c>
      <c r="V227" s="73">
        <f t="shared" si="384"/>
        <v>0</v>
      </c>
      <c r="W227" s="73">
        <f t="shared" si="384"/>
        <v>0</v>
      </c>
      <c r="X227" s="73">
        <f t="shared" si="384"/>
        <v>0</v>
      </c>
      <c r="Y227" s="71"/>
    </row>
    <row r="228" spans="1:25" s="87" customFormat="1" ht="75">
      <c r="A228" s="76"/>
      <c r="B228" s="77" t="s">
        <v>191</v>
      </c>
      <c r="C228" s="78" t="s">
        <v>192</v>
      </c>
      <c r="D228" s="59">
        <f>D229</f>
        <v>94</v>
      </c>
      <c r="E228" s="59">
        <f t="shared" si="384"/>
        <v>94</v>
      </c>
      <c r="F228" s="60">
        <f t="shared" si="384"/>
        <v>94</v>
      </c>
      <c r="G228" s="59">
        <f t="shared" si="384"/>
        <v>0</v>
      </c>
      <c r="H228" s="59">
        <f t="shared" si="384"/>
        <v>0</v>
      </c>
      <c r="I228" s="59">
        <f t="shared" si="384"/>
        <v>0</v>
      </c>
      <c r="J228" s="59">
        <f t="shared" si="384"/>
        <v>0</v>
      </c>
      <c r="K228" s="59">
        <f t="shared" si="384"/>
        <v>0</v>
      </c>
      <c r="L228" s="59">
        <f t="shared" si="384"/>
        <v>0</v>
      </c>
      <c r="M228" s="59">
        <f t="shared" si="384"/>
        <v>0</v>
      </c>
      <c r="N228" s="59">
        <f t="shared" si="384"/>
        <v>0</v>
      </c>
      <c r="O228" s="59">
        <f t="shared" si="384"/>
        <v>0</v>
      </c>
      <c r="P228" s="59">
        <f t="shared" si="384"/>
        <v>0</v>
      </c>
      <c r="Q228" s="59">
        <f t="shared" si="384"/>
        <v>0</v>
      </c>
      <c r="R228" s="59">
        <f t="shared" si="384"/>
        <v>0</v>
      </c>
      <c r="S228" s="59">
        <f t="shared" si="384"/>
        <v>0</v>
      </c>
      <c r="T228" s="59">
        <f t="shared" si="384"/>
        <v>0</v>
      </c>
      <c r="U228" s="59">
        <f t="shared" si="384"/>
        <v>0</v>
      </c>
      <c r="V228" s="59">
        <f t="shared" si="384"/>
        <v>0</v>
      </c>
      <c r="W228" s="59">
        <f t="shared" si="384"/>
        <v>0</v>
      </c>
      <c r="X228" s="59">
        <f t="shared" si="384"/>
        <v>0</v>
      </c>
      <c r="Y228" s="76"/>
    </row>
    <row r="229" spans="1:25" s="3" customFormat="1" ht="53.25" customHeight="1">
      <c r="A229" s="80"/>
      <c r="B229" s="42" t="s">
        <v>234</v>
      </c>
      <c r="C229" s="81"/>
      <c r="D229" s="43">
        <f>E229+J229+N229+O229+SUM(R229:V229)</f>
        <v>94</v>
      </c>
      <c r="E229" s="44">
        <f>SUM(F229:I229)</f>
        <v>94</v>
      </c>
      <c r="F229" s="47">
        <v>94</v>
      </c>
      <c r="G229" s="48"/>
      <c r="H229" s="48"/>
      <c r="I229" s="48"/>
      <c r="J229" s="44">
        <f>SUM(K229:M229)</f>
        <v>0</v>
      </c>
      <c r="K229" s="48"/>
      <c r="L229" s="48"/>
      <c r="M229" s="48"/>
      <c r="N229" s="48"/>
      <c r="O229" s="44">
        <f>SUM(P229:Q229)</f>
        <v>0</v>
      </c>
      <c r="P229" s="48"/>
      <c r="Q229" s="48"/>
      <c r="R229" s="48"/>
      <c r="S229" s="48"/>
      <c r="T229" s="48"/>
      <c r="U229" s="48"/>
      <c r="V229" s="44">
        <f>SUM(W229:X229)</f>
        <v>0</v>
      </c>
      <c r="W229" s="48"/>
      <c r="X229" s="48"/>
      <c r="Y229" s="80"/>
    </row>
    <row r="230" spans="1:25" s="32" customFormat="1" ht="22.5" customHeight="1">
      <c r="A230" s="31" t="s">
        <v>90</v>
      </c>
      <c r="B230" s="31" t="s">
        <v>236</v>
      </c>
      <c r="C230" s="28"/>
      <c r="D230" s="29">
        <f>D231</f>
        <v>35</v>
      </c>
      <c r="E230" s="29">
        <f t="shared" ref="E230:X231" si="385">E231</f>
        <v>35</v>
      </c>
      <c r="F230" s="30">
        <f t="shared" si="385"/>
        <v>35</v>
      </c>
      <c r="G230" s="29">
        <f t="shared" si="385"/>
        <v>0</v>
      </c>
      <c r="H230" s="29">
        <f t="shared" si="385"/>
        <v>0</v>
      </c>
      <c r="I230" s="29">
        <f t="shared" si="385"/>
        <v>0</v>
      </c>
      <c r="J230" s="29">
        <f t="shared" si="385"/>
        <v>0</v>
      </c>
      <c r="K230" s="29">
        <f t="shared" si="385"/>
        <v>0</v>
      </c>
      <c r="L230" s="29">
        <f t="shared" si="385"/>
        <v>0</v>
      </c>
      <c r="M230" s="29">
        <f t="shared" si="385"/>
        <v>0</v>
      </c>
      <c r="N230" s="29">
        <f t="shared" si="385"/>
        <v>0</v>
      </c>
      <c r="O230" s="29">
        <f t="shared" si="385"/>
        <v>0</v>
      </c>
      <c r="P230" s="29">
        <f t="shared" si="385"/>
        <v>0</v>
      </c>
      <c r="Q230" s="29">
        <f t="shared" si="385"/>
        <v>0</v>
      </c>
      <c r="R230" s="29">
        <f t="shared" si="385"/>
        <v>0</v>
      </c>
      <c r="S230" s="29">
        <f t="shared" si="385"/>
        <v>0</v>
      </c>
      <c r="T230" s="29">
        <f t="shared" si="385"/>
        <v>0</v>
      </c>
      <c r="U230" s="29">
        <f t="shared" si="385"/>
        <v>0</v>
      </c>
      <c r="V230" s="29">
        <f t="shared" si="385"/>
        <v>0</v>
      </c>
      <c r="W230" s="29">
        <f t="shared" si="385"/>
        <v>0</v>
      </c>
      <c r="X230" s="29">
        <f t="shared" si="385"/>
        <v>0</v>
      </c>
      <c r="Y230" s="31"/>
    </row>
    <row r="231" spans="1:25" s="75" customFormat="1" ht="27.75" customHeight="1">
      <c r="A231" s="71">
        <v>1</v>
      </c>
      <c r="B231" s="71" t="s">
        <v>223</v>
      </c>
      <c r="C231" s="72" t="s">
        <v>176</v>
      </c>
      <c r="D231" s="73">
        <f>D232</f>
        <v>35</v>
      </c>
      <c r="E231" s="73">
        <f t="shared" si="385"/>
        <v>35</v>
      </c>
      <c r="F231" s="74">
        <f t="shared" si="385"/>
        <v>35</v>
      </c>
      <c r="G231" s="73">
        <f t="shared" si="385"/>
        <v>0</v>
      </c>
      <c r="H231" s="73">
        <f t="shared" si="385"/>
        <v>0</v>
      </c>
      <c r="I231" s="73">
        <f t="shared" si="385"/>
        <v>0</v>
      </c>
      <c r="J231" s="73">
        <f t="shared" si="385"/>
        <v>0</v>
      </c>
      <c r="K231" s="73">
        <f t="shared" si="385"/>
        <v>0</v>
      </c>
      <c r="L231" s="73">
        <f t="shared" si="385"/>
        <v>0</v>
      </c>
      <c r="M231" s="73">
        <f t="shared" si="385"/>
        <v>0</v>
      </c>
      <c r="N231" s="73">
        <f t="shared" si="385"/>
        <v>0</v>
      </c>
      <c r="O231" s="73">
        <f t="shared" si="385"/>
        <v>0</v>
      </c>
      <c r="P231" s="73">
        <f t="shared" si="385"/>
        <v>0</v>
      </c>
      <c r="Q231" s="73">
        <f t="shared" si="385"/>
        <v>0</v>
      </c>
      <c r="R231" s="73">
        <f t="shared" si="385"/>
        <v>0</v>
      </c>
      <c r="S231" s="73">
        <f t="shared" si="385"/>
        <v>0</v>
      </c>
      <c r="T231" s="73">
        <f t="shared" si="385"/>
        <v>0</v>
      </c>
      <c r="U231" s="73">
        <f t="shared" si="385"/>
        <v>0</v>
      </c>
      <c r="V231" s="73">
        <f t="shared" si="385"/>
        <v>0</v>
      </c>
      <c r="W231" s="73">
        <f t="shared" si="385"/>
        <v>0</v>
      </c>
      <c r="X231" s="73">
        <f t="shared" si="385"/>
        <v>0</v>
      </c>
      <c r="Y231" s="71"/>
    </row>
    <row r="232" spans="1:25" s="87" customFormat="1" ht="74.25" customHeight="1">
      <c r="A232" s="76"/>
      <c r="B232" s="77" t="s">
        <v>191</v>
      </c>
      <c r="C232" s="78" t="s">
        <v>192</v>
      </c>
      <c r="D232" s="59">
        <f>SUM(D233:D234)</f>
        <v>35</v>
      </c>
      <c r="E232" s="59">
        <f t="shared" ref="E232:X232" si="386">SUM(E233:E234)</f>
        <v>35</v>
      </c>
      <c r="F232" s="60">
        <f t="shared" si="386"/>
        <v>35</v>
      </c>
      <c r="G232" s="59">
        <f t="shared" si="386"/>
        <v>0</v>
      </c>
      <c r="H232" s="59">
        <f t="shared" si="386"/>
        <v>0</v>
      </c>
      <c r="I232" s="59">
        <f t="shared" si="386"/>
        <v>0</v>
      </c>
      <c r="J232" s="59">
        <f t="shared" si="386"/>
        <v>0</v>
      </c>
      <c r="K232" s="59">
        <f t="shared" si="386"/>
        <v>0</v>
      </c>
      <c r="L232" s="59">
        <f t="shared" si="386"/>
        <v>0</v>
      </c>
      <c r="M232" s="59">
        <f t="shared" si="386"/>
        <v>0</v>
      </c>
      <c r="N232" s="59">
        <f t="shared" si="386"/>
        <v>0</v>
      </c>
      <c r="O232" s="59">
        <f t="shared" si="386"/>
        <v>0</v>
      </c>
      <c r="P232" s="59">
        <f t="shared" si="386"/>
        <v>0</v>
      </c>
      <c r="Q232" s="59">
        <f t="shared" si="386"/>
        <v>0</v>
      </c>
      <c r="R232" s="59">
        <f t="shared" si="386"/>
        <v>0</v>
      </c>
      <c r="S232" s="59">
        <f t="shared" si="386"/>
        <v>0</v>
      </c>
      <c r="T232" s="59">
        <f t="shared" si="386"/>
        <v>0</v>
      </c>
      <c r="U232" s="59">
        <f t="shared" si="386"/>
        <v>0</v>
      </c>
      <c r="V232" s="59">
        <f t="shared" si="386"/>
        <v>0</v>
      </c>
      <c r="W232" s="59">
        <f t="shared" si="386"/>
        <v>0</v>
      </c>
      <c r="X232" s="59">
        <f t="shared" si="386"/>
        <v>0</v>
      </c>
      <c r="Y232" s="76"/>
    </row>
    <row r="233" spans="1:25" s="3" customFormat="1" ht="45" customHeight="1">
      <c r="A233" s="80"/>
      <c r="B233" s="42" t="s">
        <v>237</v>
      </c>
      <c r="C233" s="81"/>
      <c r="D233" s="43">
        <f t="shared" ref="D233:D234" si="387">E233+J233+N233+O233+SUM(R233:V233)</f>
        <v>10</v>
      </c>
      <c r="E233" s="44">
        <f t="shared" ref="E233:E234" si="388">SUM(F233:I233)</f>
        <v>10</v>
      </c>
      <c r="F233" s="47">
        <v>10</v>
      </c>
      <c r="G233" s="48"/>
      <c r="H233" s="48"/>
      <c r="I233" s="48"/>
      <c r="J233" s="44">
        <f t="shared" ref="J233:J234" si="389">SUM(K233:M233)</f>
        <v>0</v>
      </c>
      <c r="K233" s="48"/>
      <c r="L233" s="48"/>
      <c r="M233" s="48"/>
      <c r="N233" s="48"/>
      <c r="O233" s="44">
        <f t="shared" ref="O233:O234" si="390">SUM(P233:Q233)</f>
        <v>0</v>
      </c>
      <c r="P233" s="48"/>
      <c r="Q233" s="48"/>
      <c r="R233" s="48"/>
      <c r="S233" s="48"/>
      <c r="T233" s="48"/>
      <c r="U233" s="48"/>
      <c r="V233" s="44">
        <f t="shared" ref="V233:V234" si="391">SUM(W233:X233)</f>
        <v>0</v>
      </c>
      <c r="W233" s="48"/>
      <c r="X233" s="48"/>
      <c r="Y233" s="80"/>
    </row>
    <row r="234" spans="1:25" s="3" customFormat="1" ht="59.25" customHeight="1">
      <c r="A234" s="80"/>
      <c r="B234" s="42" t="s">
        <v>234</v>
      </c>
      <c r="C234" s="81"/>
      <c r="D234" s="43">
        <f t="shared" si="387"/>
        <v>25</v>
      </c>
      <c r="E234" s="44">
        <f t="shared" si="388"/>
        <v>25</v>
      </c>
      <c r="F234" s="47">
        <v>25</v>
      </c>
      <c r="G234" s="48"/>
      <c r="H234" s="48"/>
      <c r="I234" s="48"/>
      <c r="J234" s="44">
        <f t="shared" si="389"/>
        <v>0</v>
      </c>
      <c r="K234" s="48"/>
      <c r="L234" s="48"/>
      <c r="M234" s="48"/>
      <c r="N234" s="48"/>
      <c r="O234" s="44">
        <f t="shared" si="390"/>
        <v>0</v>
      </c>
      <c r="P234" s="48"/>
      <c r="Q234" s="48"/>
      <c r="R234" s="48"/>
      <c r="S234" s="48"/>
      <c r="T234" s="48"/>
      <c r="U234" s="48"/>
      <c r="V234" s="44">
        <f t="shared" si="391"/>
        <v>0</v>
      </c>
      <c r="W234" s="48"/>
      <c r="X234" s="48"/>
      <c r="Y234" s="80"/>
    </row>
    <row r="235" spans="1:25" s="32" customFormat="1" ht="27.75" customHeight="1">
      <c r="A235" s="31" t="s">
        <v>101</v>
      </c>
      <c r="B235" s="31" t="s">
        <v>238</v>
      </c>
      <c r="C235" s="28"/>
      <c r="D235" s="29">
        <f>D239+D236</f>
        <v>8177</v>
      </c>
      <c r="E235" s="29">
        <f t="shared" ref="E235:X235" si="392">E239+E236</f>
        <v>0</v>
      </c>
      <c r="F235" s="30">
        <f t="shared" si="392"/>
        <v>0</v>
      </c>
      <c r="G235" s="29">
        <f t="shared" si="392"/>
        <v>0</v>
      </c>
      <c r="H235" s="29">
        <f t="shared" si="392"/>
        <v>0</v>
      </c>
      <c r="I235" s="29">
        <f t="shared" si="392"/>
        <v>0</v>
      </c>
      <c r="J235" s="29">
        <f t="shared" si="392"/>
        <v>0</v>
      </c>
      <c r="K235" s="29">
        <f t="shared" si="392"/>
        <v>0</v>
      </c>
      <c r="L235" s="29">
        <f t="shared" si="392"/>
        <v>0</v>
      </c>
      <c r="M235" s="29">
        <f t="shared" si="392"/>
        <v>0</v>
      </c>
      <c r="N235" s="29">
        <f t="shared" si="392"/>
        <v>0</v>
      </c>
      <c r="O235" s="29">
        <f t="shared" si="392"/>
        <v>8177</v>
      </c>
      <c r="P235" s="29">
        <f t="shared" si="392"/>
        <v>8177</v>
      </c>
      <c r="Q235" s="29">
        <f t="shared" si="392"/>
        <v>0</v>
      </c>
      <c r="R235" s="29">
        <f t="shared" si="392"/>
        <v>0</v>
      </c>
      <c r="S235" s="29">
        <f t="shared" si="392"/>
        <v>0</v>
      </c>
      <c r="T235" s="29">
        <f t="shared" si="392"/>
        <v>0</v>
      </c>
      <c r="U235" s="29">
        <f t="shared" si="392"/>
        <v>0</v>
      </c>
      <c r="V235" s="29">
        <f t="shared" si="392"/>
        <v>0</v>
      </c>
      <c r="W235" s="29">
        <f t="shared" si="392"/>
        <v>0</v>
      </c>
      <c r="X235" s="29">
        <f t="shared" si="392"/>
        <v>0</v>
      </c>
      <c r="Y235" s="31"/>
    </row>
    <row r="236" spans="1:25" s="75" customFormat="1" ht="27.75" customHeight="1">
      <c r="A236" s="71">
        <v>1</v>
      </c>
      <c r="B236" s="71" t="s">
        <v>223</v>
      </c>
      <c r="C236" s="72" t="s">
        <v>176</v>
      </c>
      <c r="D236" s="73">
        <f>D237</f>
        <v>4151</v>
      </c>
      <c r="E236" s="73">
        <f t="shared" ref="E236:X237" si="393">E237</f>
        <v>0</v>
      </c>
      <c r="F236" s="74">
        <f t="shared" si="393"/>
        <v>0</v>
      </c>
      <c r="G236" s="73">
        <f t="shared" si="393"/>
        <v>0</v>
      </c>
      <c r="H236" s="73">
        <f t="shared" si="393"/>
        <v>0</v>
      </c>
      <c r="I236" s="73">
        <f t="shared" si="393"/>
        <v>0</v>
      </c>
      <c r="J236" s="73">
        <f t="shared" si="393"/>
        <v>0</v>
      </c>
      <c r="K236" s="73">
        <f t="shared" si="393"/>
        <v>0</v>
      </c>
      <c r="L236" s="73">
        <f t="shared" si="393"/>
        <v>0</v>
      </c>
      <c r="M236" s="73">
        <f t="shared" si="393"/>
        <v>0</v>
      </c>
      <c r="N236" s="73">
        <f t="shared" si="393"/>
        <v>0</v>
      </c>
      <c r="O236" s="73">
        <f t="shared" si="393"/>
        <v>4151</v>
      </c>
      <c r="P236" s="73">
        <f t="shared" si="393"/>
        <v>4151</v>
      </c>
      <c r="Q236" s="73">
        <f t="shared" si="393"/>
        <v>0</v>
      </c>
      <c r="R236" s="73">
        <f t="shared" si="393"/>
        <v>0</v>
      </c>
      <c r="S236" s="73">
        <f t="shared" si="393"/>
        <v>0</v>
      </c>
      <c r="T236" s="73">
        <f t="shared" si="393"/>
        <v>0</v>
      </c>
      <c r="U236" s="73">
        <f t="shared" si="393"/>
        <v>0</v>
      </c>
      <c r="V236" s="73">
        <f t="shared" si="393"/>
        <v>0</v>
      </c>
      <c r="W236" s="73">
        <f t="shared" si="393"/>
        <v>0</v>
      </c>
      <c r="X236" s="73">
        <f t="shared" si="393"/>
        <v>0</v>
      </c>
      <c r="Y236" s="71"/>
    </row>
    <row r="237" spans="1:25" s="88" customFormat="1" ht="45" customHeight="1">
      <c r="A237" s="76"/>
      <c r="B237" s="77" t="s">
        <v>181</v>
      </c>
      <c r="C237" s="78" t="s">
        <v>182</v>
      </c>
      <c r="D237" s="59">
        <f>D238</f>
        <v>4151</v>
      </c>
      <c r="E237" s="59">
        <f t="shared" si="393"/>
        <v>0</v>
      </c>
      <c r="F237" s="60">
        <f t="shared" si="393"/>
        <v>0</v>
      </c>
      <c r="G237" s="59">
        <f t="shared" si="393"/>
        <v>0</v>
      </c>
      <c r="H237" s="59">
        <f t="shared" si="393"/>
        <v>0</v>
      </c>
      <c r="I237" s="59">
        <f t="shared" si="393"/>
        <v>0</v>
      </c>
      <c r="J237" s="59">
        <f t="shared" si="393"/>
        <v>0</v>
      </c>
      <c r="K237" s="59">
        <f t="shared" si="393"/>
        <v>0</v>
      </c>
      <c r="L237" s="59">
        <f t="shared" si="393"/>
        <v>0</v>
      </c>
      <c r="M237" s="59">
        <f t="shared" si="393"/>
        <v>0</v>
      </c>
      <c r="N237" s="59">
        <f t="shared" si="393"/>
        <v>0</v>
      </c>
      <c r="O237" s="59">
        <f t="shared" si="393"/>
        <v>4151</v>
      </c>
      <c r="P237" s="59">
        <f t="shared" si="393"/>
        <v>4151</v>
      </c>
      <c r="Q237" s="59">
        <f t="shared" si="393"/>
        <v>0</v>
      </c>
      <c r="R237" s="59">
        <f t="shared" si="393"/>
        <v>0</v>
      </c>
      <c r="S237" s="59">
        <f t="shared" si="393"/>
        <v>0</v>
      </c>
      <c r="T237" s="59">
        <f t="shared" si="393"/>
        <v>0</v>
      </c>
      <c r="U237" s="59">
        <f t="shared" si="393"/>
        <v>0</v>
      </c>
      <c r="V237" s="59">
        <f t="shared" si="393"/>
        <v>0</v>
      </c>
      <c r="W237" s="59">
        <f t="shared" si="393"/>
        <v>0</v>
      </c>
      <c r="X237" s="59">
        <f t="shared" si="393"/>
        <v>0</v>
      </c>
      <c r="Y237" s="76"/>
    </row>
    <row r="238" spans="1:25" s="3" customFormat="1" ht="41.25" customHeight="1">
      <c r="A238" s="80"/>
      <c r="B238" s="42" t="s">
        <v>239</v>
      </c>
      <c r="C238" s="81"/>
      <c r="D238" s="43">
        <f>E238+J238+N238+O238+SUM(R238:V238)</f>
        <v>4151</v>
      </c>
      <c r="E238" s="44">
        <f>SUM(F238:I238)</f>
        <v>0</v>
      </c>
      <c r="F238" s="47"/>
      <c r="G238" s="48"/>
      <c r="H238" s="48"/>
      <c r="I238" s="48"/>
      <c r="J238" s="44">
        <f t="shared" ref="J238" si="394">SUM(K238:M238)</f>
        <v>0</v>
      </c>
      <c r="K238" s="48"/>
      <c r="L238" s="48"/>
      <c r="M238" s="48"/>
      <c r="N238" s="48"/>
      <c r="O238" s="44">
        <f t="shared" ref="O238" si="395">SUM(P238:Q238)</f>
        <v>4151</v>
      </c>
      <c r="P238" s="48">
        <v>4151</v>
      </c>
      <c r="Q238" s="48"/>
      <c r="R238" s="48"/>
      <c r="S238" s="48"/>
      <c r="T238" s="48"/>
      <c r="U238" s="48"/>
      <c r="V238" s="44">
        <f t="shared" ref="V238" si="396">SUM(W238:X238)</f>
        <v>0</v>
      </c>
      <c r="W238" s="48"/>
      <c r="X238" s="48"/>
      <c r="Y238" s="80"/>
    </row>
    <row r="239" spans="1:25" s="75" customFormat="1" ht="24.75" customHeight="1">
      <c r="A239" s="71">
        <v>2</v>
      </c>
      <c r="B239" s="71" t="s">
        <v>240</v>
      </c>
      <c r="C239" s="72" t="s">
        <v>194</v>
      </c>
      <c r="D239" s="73">
        <f>D240</f>
        <v>4026</v>
      </c>
      <c r="E239" s="73">
        <f t="shared" ref="E239:X241" si="397">E240</f>
        <v>0</v>
      </c>
      <c r="F239" s="74">
        <f t="shared" si="397"/>
        <v>0</v>
      </c>
      <c r="G239" s="73">
        <f t="shared" si="397"/>
        <v>0</v>
      </c>
      <c r="H239" s="73">
        <f t="shared" si="397"/>
        <v>0</v>
      </c>
      <c r="I239" s="73">
        <f t="shared" si="397"/>
        <v>0</v>
      </c>
      <c r="J239" s="73">
        <f t="shared" si="397"/>
        <v>0</v>
      </c>
      <c r="K239" s="73">
        <f t="shared" si="397"/>
        <v>0</v>
      </c>
      <c r="L239" s="73">
        <f t="shared" si="397"/>
        <v>0</v>
      </c>
      <c r="M239" s="73">
        <f t="shared" si="397"/>
        <v>0</v>
      </c>
      <c r="N239" s="73">
        <f t="shared" si="397"/>
        <v>0</v>
      </c>
      <c r="O239" s="73">
        <f t="shared" si="397"/>
        <v>4026</v>
      </c>
      <c r="P239" s="73">
        <f t="shared" si="397"/>
        <v>4026</v>
      </c>
      <c r="Q239" s="73">
        <f t="shared" si="397"/>
        <v>0</v>
      </c>
      <c r="R239" s="73">
        <f t="shared" si="397"/>
        <v>0</v>
      </c>
      <c r="S239" s="73">
        <f t="shared" si="397"/>
        <v>0</v>
      </c>
      <c r="T239" s="73">
        <f t="shared" si="397"/>
        <v>0</v>
      </c>
      <c r="U239" s="73">
        <f t="shared" si="397"/>
        <v>0</v>
      </c>
      <c r="V239" s="73">
        <f t="shared" si="397"/>
        <v>0</v>
      </c>
      <c r="W239" s="73">
        <f t="shared" si="397"/>
        <v>0</v>
      </c>
      <c r="X239" s="73">
        <f t="shared" si="397"/>
        <v>0</v>
      </c>
      <c r="Y239" s="71"/>
    </row>
    <row r="240" spans="1:25" s="88" customFormat="1" ht="44.25" customHeight="1">
      <c r="A240" s="76"/>
      <c r="B240" s="77" t="s">
        <v>195</v>
      </c>
      <c r="C240" s="78" t="s">
        <v>196</v>
      </c>
      <c r="D240" s="59">
        <f>D241</f>
        <v>4026</v>
      </c>
      <c r="E240" s="59">
        <f t="shared" si="397"/>
        <v>0</v>
      </c>
      <c r="F240" s="60">
        <f t="shared" si="397"/>
        <v>0</v>
      </c>
      <c r="G240" s="59">
        <f t="shared" si="397"/>
        <v>0</v>
      </c>
      <c r="H240" s="59">
        <f t="shared" si="397"/>
        <v>0</v>
      </c>
      <c r="I240" s="59">
        <f t="shared" si="397"/>
        <v>0</v>
      </c>
      <c r="J240" s="59">
        <f t="shared" si="397"/>
        <v>0</v>
      </c>
      <c r="K240" s="59">
        <f t="shared" si="397"/>
        <v>0</v>
      </c>
      <c r="L240" s="59">
        <f t="shared" si="397"/>
        <v>0</v>
      </c>
      <c r="M240" s="59">
        <f t="shared" si="397"/>
        <v>0</v>
      </c>
      <c r="N240" s="59">
        <f t="shared" si="397"/>
        <v>0</v>
      </c>
      <c r="O240" s="59">
        <f t="shared" si="397"/>
        <v>4026</v>
      </c>
      <c r="P240" s="59">
        <f t="shared" si="397"/>
        <v>4026</v>
      </c>
      <c r="Q240" s="59">
        <f t="shared" si="397"/>
        <v>0</v>
      </c>
      <c r="R240" s="59">
        <f t="shared" si="397"/>
        <v>0</v>
      </c>
      <c r="S240" s="59">
        <f t="shared" si="397"/>
        <v>0</v>
      </c>
      <c r="T240" s="59">
        <f t="shared" si="397"/>
        <v>0</v>
      </c>
      <c r="U240" s="59">
        <f t="shared" si="397"/>
        <v>0</v>
      </c>
      <c r="V240" s="59">
        <f t="shared" si="397"/>
        <v>0</v>
      </c>
      <c r="W240" s="59">
        <f t="shared" si="397"/>
        <v>0</v>
      </c>
      <c r="X240" s="59">
        <f t="shared" si="397"/>
        <v>0</v>
      </c>
      <c r="Y240" s="76"/>
    </row>
    <row r="241" spans="1:25" s="32" customFormat="1" ht="78.75" customHeight="1">
      <c r="A241" s="41"/>
      <c r="B241" s="89" t="s">
        <v>241</v>
      </c>
      <c r="C241" s="28"/>
      <c r="D241" s="43">
        <f>D242</f>
        <v>4026</v>
      </c>
      <c r="E241" s="43">
        <f t="shared" si="397"/>
        <v>0</v>
      </c>
      <c r="F241" s="90">
        <f t="shared" si="397"/>
        <v>0</v>
      </c>
      <c r="G241" s="43">
        <f t="shared" si="397"/>
        <v>0</v>
      </c>
      <c r="H241" s="43">
        <f t="shared" si="397"/>
        <v>0</v>
      </c>
      <c r="I241" s="43">
        <f t="shared" si="397"/>
        <v>0</v>
      </c>
      <c r="J241" s="43">
        <f t="shared" si="397"/>
        <v>0</v>
      </c>
      <c r="K241" s="43">
        <f t="shared" si="397"/>
        <v>0</v>
      </c>
      <c r="L241" s="43">
        <f t="shared" si="397"/>
        <v>0</v>
      </c>
      <c r="M241" s="43">
        <f t="shared" si="397"/>
        <v>0</v>
      </c>
      <c r="N241" s="43">
        <f t="shared" si="397"/>
        <v>0</v>
      </c>
      <c r="O241" s="43">
        <f t="shared" si="397"/>
        <v>4026</v>
      </c>
      <c r="P241" s="43">
        <f t="shared" si="397"/>
        <v>4026</v>
      </c>
      <c r="Q241" s="43">
        <f t="shared" si="397"/>
        <v>0</v>
      </c>
      <c r="R241" s="43">
        <f t="shared" si="397"/>
        <v>0</v>
      </c>
      <c r="S241" s="43">
        <f t="shared" si="397"/>
        <v>0</v>
      </c>
      <c r="T241" s="43">
        <f t="shared" si="397"/>
        <v>0</v>
      </c>
      <c r="U241" s="43">
        <f t="shared" si="397"/>
        <v>0</v>
      </c>
      <c r="V241" s="43">
        <f t="shared" si="397"/>
        <v>0</v>
      </c>
      <c r="W241" s="43">
        <f t="shared" si="397"/>
        <v>0</v>
      </c>
      <c r="X241" s="43">
        <f t="shared" si="397"/>
        <v>0</v>
      </c>
      <c r="Y241" s="31"/>
    </row>
    <row r="242" spans="1:25" s="62" customFormat="1" ht="29.25" customHeight="1">
      <c r="A242" s="91"/>
      <c r="B242" s="92" t="s">
        <v>242</v>
      </c>
      <c r="C242" s="58"/>
      <c r="D242" s="93">
        <f>E242+J242+N242+O242+SUM(R242:V242)</f>
        <v>4026</v>
      </c>
      <c r="E242" s="94">
        <f>SUM(F242:I242)</f>
        <v>0</v>
      </c>
      <c r="F242" s="105"/>
      <c r="G242" s="94"/>
      <c r="H242" s="94"/>
      <c r="I242" s="94"/>
      <c r="J242" s="94">
        <f t="shared" ref="J242" si="398">SUM(K242:M242)</f>
        <v>0</v>
      </c>
      <c r="K242" s="106"/>
      <c r="L242" s="106"/>
      <c r="M242" s="106"/>
      <c r="N242" s="106"/>
      <c r="O242" s="94">
        <f t="shared" ref="O242" si="399">SUM(P242:Q242)</f>
        <v>4026</v>
      </c>
      <c r="P242" s="106">
        <v>4026</v>
      </c>
      <c r="Q242" s="106"/>
      <c r="R242" s="106"/>
      <c r="S242" s="106"/>
      <c r="T242" s="106"/>
      <c r="U242" s="106"/>
      <c r="V242" s="94">
        <f t="shared" ref="V242" si="400">SUM(W242:X242)</f>
        <v>0</v>
      </c>
      <c r="W242" s="94">
        <f>ROUND(S242*15%,-0.1)</f>
        <v>0</v>
      </c>
      <c r="X242" s="94">
        <f>ROUND(T242*15%,-0.1)</f>
        <v>0</v>
      </c>
      <c r="Y242" s="61"/>
    </row>
    <row r="243" spans="1:25" s="32" customFormat="1" ht="21" customHeight="1">
      <c r="A243" s="31" t="s">
        <v>102</v>
      </c>
      <c r="B243" s="31" t="s">
        <v>243</v>
      </c>
      <c r="C243" s="28"/>
      <c r="D243" s="29">
        <f>D244+D247</f>
        <v>225</v>
      </c>
      <c r="E243" s="29">
        <f t="shared" ref="E243:X243" si="401">E244+E247</f>
        <v>10</v>
      </c>
      <c r="F243" s="30">
        <f t="shared" si="401"/>
        <v>10</v>
      </c>
      <c r="G243" s="29">
        <f t="shared" si="401"/>
        <v>0</v>
      </c>
      <c r="H243" s="29">
        <f t="shared" si="401"/>
        <v>0</v>
      </c>
      <c r="I243" s="29">
        <f t="shared" si="401"/>
        <v>0</v>
      </c>
      <c r="J243" s="29">
        <f t="shared" si="401"/>
        <v>0</v>
      </c>
      <c r="K243" s="29">
        <f t="shared" si="401"/>
        <v>0</v>
      </c>
      <c r="L243" s="29">
        <f t="shared" si="401"/>
        <v>0</v>
      </c>
      <c r="M243" s="29">
        <f t="shared" si="401"/>
        <v>0</v>
      </c>
      <c r="N243" s="29">
        <f t="shared" si="401"/>
        <v>0</v>
      </c>
      <c r="O243" s="29">
        <f t="shared" si="401"/>
        <v>0</v>
      </c>
      <c r="P243" s="29">
        <f t="shared" si="401"/>
        <v>0</v>
      </c>
      <c r="Q243" s="29">
        <f t="shared" si="401"/>
        <v>0</v>
      </c>
      <c r="R243" s="29">
        <f t="shared" si="401"/>
        <v>215</v>
      </c>
      <c r="S243" s="29">
        <f t="shared" si="401"/>
        <v>0</v>
      </c>
      <c r="T243" s="29">
        <f t="shared" si="401"/>
        <v>0</v>
      </c>
      <c r="U243" s="29">
        <f t="shared" si="401"/>
        <v>0</v>
      </c>
      <c r="V243" s="29">
        <f t="shared" si="401"/>
        <v>0</v>
      </c>
      <c r="W243" s="29">
        <f t="shared" si="401"/>
        <v>0</v>
      </c>
      <c r="X243" s="29">
        <f t="shared" si="401"/>
        <v>0</v>
      </c>
      <c r="Y243" s="31"/>
    </row>
    <row r="244" spans="1:25" s="75" customFormat="1" ht="21" customHeight="1">
      <c r="A244" s="71">
        <v>1</v>
      </c>
      <c r="B244" s="71" t="s">
        <v>221</v>
      </c>
      <c r="C244" s="72" t="s">
        <v>159</v>
      </c>
      <c r="D244" s="73">
        <f>D245</f>
        <v>215</v>
      </c>
      <c r="E244" s="73">
        <f t="shared" ref="E244:X245" si="402">E245</f>
        <v>0</v>
      </c>
      <c r="F244" s="74">
        <f t="shared" si="402"/>
        <v>0</v>
      </c>
      <c r="G244" s="73">
        <f t="shared" si="402"/>
        <v>0</v>
      </c>
      <c r="H244" s="73">
        <f t="shared" si="402"/>
        <v>0</v>
      </c>
      <c r="I244" s="73">
        <f t="shared" si="402"/>
        <v>0</v>
      </c>
      <c r="J244" s="73">
        <f t="shared" si="402"/>
        <v>0</v>
      </c>
      <c r="K244" s="73">
        <f t="shared" si="402"/>
        <v>0</v>
      </c>
      <c r="L244" s="73">
        <f t="shared" si="402"/>
        <v>0</v>
      </c>
      <c r="M244" s="73">
        <f t="shared" si="402"/>
        <v>0</v>
      </c>
      <c r="N244" s="73">
        <f t="shared" si="402"/>
        <v>0</v>
      </c>
      <c r="O244" s="73">
        <f t="shared" si="402"/>
        <v>0</v>
      </c>
      <c r="P244" s="73">
        <f t="shared" si="402"/>
        <v>0</v>
      </c>
      <c r="Q244" s="73">
        <f t="shared" si="402"/>
        <v>0</v>
      </c>
      <c r="R244" s="73">
        <f t="shared" si="402"/>
        <v>215</v>
      </c>
      <c r="S244" s="73">
        <f t="shared" si="402"/>
        <v>0</v>
      </c>
      <c r="T244" s="73">
        <f t="shared" si="402"/>
        <v>0</v>
      </c>
      <c r="U244" s="73">
        <f t="shared" si="402"/>
        <v>0</v>
      </c>
      <c r="V244" s="73">
        <f t="shared" si="402"/>
        <v>0</v>
      </c>
      <c r="W244" s="73">
        <f t="shared" si="402"/>
        <v>0</v>
      </c>
      <c r="X244" s="73">
        <f t="shared" si="402"/>
        <v>0</v>
      </c>
      <c r="Y244" s="71"/>
    </row>
    <row r="245" spans="1:25" s="79" customFormat="1" ht="21" customHeight="1">
      <c r="A245" s="76"/>
      <c r="B245" s="77" t="s">
        <v>160</v>
      </c>
      <c r="C245" s="78" t="s">
        <v>161</v>
      </c>
      <c r="D245" s="59">
        <f>D246</f>
        <v>215</v>
      </c>
      <c r="E245" s="59">
        <f t="shared" si="402"/>
        <v>0</v>
      </c>
      <c r="F245" s="60">
        <f t="shared" si="402"/>
        <v>0</v>
      </c>
      <c r="G245" s="59">
        <f t="shared" si="402"/>
        <v>0</v>
      </c>
      <c r="H245" s="59">
        <f t="shared" si="402"/>
        <v>0</v>
      </c>
      <c r="I245" s="59">
        <f t="shared" si="402"/>
        <v>0</v>
      </c>
      <c r="J245" s="59">
        <f t="shared" si="402"/>
        <v>0</v>
      </c>
      <c r="K245" s="59">
        <f t="shared" si="402"/>
        <v>0</v>
      </c>
      <c r="L245" s="59">
        <f t="shared" si="402"/>
        <v>0</v>
      </c>
      <c r="M245" s="59">
        <f t="shared" si="402"/>
        <v>0</v>
      </c>
      <c r="N245" s="59">
        <f t="shared" si="402"/>
        <v>0</v>
      </c>
      <c r="O245" s="59">
        <f t="shared" si="402"/>
        <v>0</v>
      </c>
      <c r="P245" s="59">
        <f t="shared" si="402"/>
        <v>0</v>
      </c>
      <c r="Q245" s="59">
        <f t="shared" si="402"/>
        <v>0</v>
      </c>
      <c r="R245" s="59">
        <f t="shared" si="402"/>
        <v>215</v>
      </c>
      <c r="S245" s="59">
        <f t="shared" si="402"/>
        <v>0</v>
      </c>
      <c r="T245" s="59">
        <f t="shared" si="402"/>
        <v>0</v>
      </c>
      <c r="U245" s="59">
        <f t="shared" si="402"/>
        <v>0</v>
      </c>
      <c r="V245" s="59">
        <f t="shared" si="402"/>
        <v>0</v>
      </c>
      <c r="W245" s="59">
        <f t="shared" si="402"/>
        <v>0</v>
      </c>
      <c r="X245" s="59">
        <f t="shared" si="402"/>
        <v>0</v>
      </c>
      <c r="Y245" s="76"/>
    </row>
    <row r="246" spans="1:25" s="3" customFormat="1" ht="21" customHeight="1">
      <c r="A246" s="80"/>
      <c r="B246" s="42" t="s">
        <v>244</v>
      </c>
      <c r="C246" s="81"/>
      <c r="D246" s="43">
        <f>E246+J246+N246+O246+SUM(R246:V246)</f>
        <v>215</v>
      </c>
      <c r="E246" s="44">
        <f>SUM(F246:I246)</f>
        <v>0</v>
      </c>
      <c r="F246" s="47"/>
      <c r="G246" s="48"/>
      <c r="H246" s="48"/>
      <c r="I246" s="48"/>
      <c r="J246" s="44">
        <f t="shared" ref="J246" si="403">SUM(K246:M246)</f>
        <v>0</v>
      </c>
      <c r="K246" s="48"/>
      <c r="L246" s="48"/>
      <c r="M246" s="48"/>
      <c r="N246" s="48"/>
      <c r="O246" s="44">
        <f t="shared" ref="O246" si="404">SUM(P246:Q246)</f>
        <v>0</v>
      </c>
      <c r="P246" s="48"/>
      <c r="Q246" s="48"/>
      <c r="R246" s="48">
        <v>215</v>
      </c>
      <c r="S246" s="48"/>
      <c r="T246" s="48"/>
      <c r="U246" s="48"/>
      <c r="V246" s="44">
        <f t="shared" ref="V246" si="405">SUM(W246:X246)</f>
        <v>0</v>
      </c>
      <c r="W246" s="48"/>
      <c r="X246" s="48"/>
      <c r="Y246" s="80"/>
    </row>
    <row r="247" spans="1:25" s="75" customFormat="1" ht="21" customHeight="1">
      <c r="A247" s="71">
        <v>2</v>
      </c>
      <c r="B247" s="71" t="s">
        <v>223</v>
      </c>
      <c r="C247" s="72" t="s">
        <v>176</v>
      </c>
      <c r="D247" s="73">
        <f>D248</f>
        <v>10</v>
      </c>
      <c r="E247" s="73">
        <f t="shared" ref="E247:X248" si="406">E248</f>
        <v>10</v>
      </c>
      <c r="F247" s="74">
        <f t="shared" si="406"/>
        <v>10</v>
      </c>
      <c r="G247" s="73">
        <f t="shared" si="406"/>
        <v>0</v>
      </c>
      <c r="H247" s="73">
        <f t="shared" si="406"/>
        <v>0</v>
      </c>
      <c r="I247" s="73">
        <f t="shared" si="406"/>
        <v>0</v>
      </c>
      <c r="J247" s="73">
        <f t="shared" si="406"/>
        <v>0</v>
      </c>
      <c r="K247" s="73">
        <f t="shared" si="406"/>
        <v>0</v>
      </c>
      <c r="L247" s="73">
        <f t="shared" si="406"/>
        <v>0</v>
      </c>
      <c r="M247" s="73">
        <f t="shared" si="406"/>
        <v>0</v>
      </c>
      <c r="N247" s="73">
        <f t="shared" si="406"/>
        <v>0</v>
      </c>
      <c r="O247" s="73">
        <f t="shared" si="406"/>
        <v>0</v>
      </c>
      <c r="P247" s="73">
        <f t="shared" si="406"/>
        <v>0</v>
      </c>
      <c r="Q247" s="73">
        <f t="shared" si="406"/>
        <v>0</v>
      </c>
      <c r="R247" s="73">
        <f t="shared" si="406"/>
        <v>0</v>
      </c>
      <c r="S247" s="73">
        <f t="shared" si="406"/>
        <v>0</v>
      </c>
      <c r="T247" s="73">
        <f t="shared" si="406"/>
        <v>0</v>
      </c>
      <c r="U247" s="73">
        <f t="shared" si="406"/>
        <v>0</v>
      </c>
      <c r="V247" s="73">
        <f t="shared" si="406"/>
        <v>0</v>
      </c>
      <c r="W247" s="73">
        <f t="shared" si="406"/>
        <v>0</v>
      </c>
      <c r="X247" s="73">
        <f t="shared" si="406"/>
        <v>0</v>
      </c>
      <c r="Y247" s="71"/>
    </row>
    <row r="248" spans="1:25" s="79" customFormat="1" ht="75">
      <c r="A248" s="76"/>
      <c r="B248" s="77" t="s">
        <v>191</v>
      </c>
      <c r="C248" s="78" t="s">
        <v>192</v>
      </c>
      <c r="D248" s="59">
        <f>D249</f>
        <v>10</v>
      </c>
      <c r="E248" s="59">
        <f t="shared" si="406"/>
        <v>10</v>
      </c>
      <c r="F248" s="60">
        <f t="shared" si="406"/>
        <v>10</v>
      </c>
      <c r="G248" s="59">
        <f t="shared" si="406"/>
        <v>0</v>
      </c>
      <c r="H248" s="59">
        <f t="shared" si="406"/>
        <v>0</v>
      </c>
      <c r="I248" s="59">
        <f t="shared" si="406"/>
        <v>0</v>
      </c>
      <c r="J248" s="59">
        <f t="shared" si="406"/>
        <v>0</v>
      </c>
      <c r="K248" s="59">
        <f t="shared" si="406"/>
        <v>0</v>
      </c>
      <c r="L248" s="59">
        <f t="shared" si="406"/>
        <v>0</v>
      </c>
      <c r="M248" s="59">
        <f t="shared" si="406"/>
        <v>0</v>
      </c>
      <c r="N248" s="59">
        <f t="shared" si="406"/>
        <v>0</v>
      </c>
      <c r="O248" s="59">
        <f t="shared" si="406"/>
        <v>0</v>
      </c>
      <c r="P248" s="59">
        <f t="shared" si="406"/>
        <v>0</v>
      </c>
      <c r="Q248" s="59">
        <f t="shared" si="406"/>
        <v>0</v>
      </c>
      <c r="R248" s="59">
        <f t="shared" si="406"/>
        <v>0</v>
      </c>
      <c r="S248" s="59">
        <f t="shared" si="406"/>
        <v>0</v>
      </c>
      <c r="T248" s="59">
        <f t="shared" si="406"/>
        <v>0</v>
      </c>
      <c r="U248" s="59">
        <f t="shared" si="406"/>
        <v>0</v>
      </c>
      <c r="V248" s="59">
        <f t="shared" si="406"/>
        <v>0</v>
      </c>
      <c r="W248" s="59">
        <f t="shared" si="406"/>
        <v>0</v>
      </c>
      <c r="X248" s="59">
        <f t="shared" si="406"/>
        <v>0</v>
      </c>
      <c r="Y248" s="76"/>
    </row>
    <row r="249" spans="1:25" s="3" customFormat="1" ht="41.25" customHeight="1">
      <c r="A249" s="80"/>
      <c r="B249" s="42" t="s">
        <v>237</v>
      </c>
      <c r="C249" s="81"/>
      <c r="D249" s="43">
        <f>E249+J249+N249+O249+SUM(R249:V249)</f>
        <v>10</v>
      </c>
      <c r="E249" s="44">
        <f>SUM(F249:I249)</f>
        <v>10</v>
      </c>
      <c r="F249" s="47">
        <v>10</v>
      </c>
      <c r="G249" s="48"/>
      <c r="H249" s="48"/>
      <c r="I249" s="48"/>
      <c r="J249" s="44">
        <f>SUM(K249:M249)</f>
        <v>0</v>
      </c>
      <c r="K249" s="48"/>
      <c r="L249" s="48"/>
      <c r="M249" s="48"/>
      <c r="N249" s="48"/>
      <c r="O249" s="44">
        <f>SUM(P249:Q249)</f>
        <v>0</v>
      </c>
      <c r="P249" s="48"/>
      <c r="Q249" s="48"/>
      <c r="R249" s="48"/>
      <c r="S249" s="48"/>
      <c r="T249" s="48"/>
      <c r="U249" s="48"/>
      <c r="V249" s="44">
        <f>SUM(W249:X249)</f>
        <v>0</v>
      </c>
      <c r="W249" s="48"/>
      <c r="X249" s="48"/>
      <c r="Y249" s="80"/>
    </row>
    <row r="250" spans="1:25" s="32" customFormat="1" ht="24.75" customHeight="1">
      <c r="A250" s="31" t="s">
        <v>103</v>
      </c>
      <c r="B250" s="31" t="s">
        <v>245</v>
      </c>
      <c r="C250" s="28"/>
      <c r="D250" s="29">
        <f>D251+D260</f>
        <v>5651</v>
      </c>
      <c r="E250" s="29">
        <f t="shared" ref="E250:X250" si="407">E251+E260</f>
        <v>1117</v>
      </c>
      <c r="F250" s="30">
        <f t="shared" si="407"/>
        <v>1117</v>
      </c>
      <c r="G250" s="29">
        <f t="shared" si="407"/>
        <v>0</v>
      </c>
      <c r="H250" s="29">
        <f t="shared" si="407"/>
        <v>0</v>
      </c>
      <c r="I250" s="29">
        <f t="shared" si="407"/>
        <v>0</v>
      </c>
      <c r="J250" s="29">
        <f t="shared" si="407"/>
        <v>0</v>
      </c>
      <c r="K250" s="29">
        <f t="shared" si="407"/>
        <v>0</v>
      </c>
      <c r="L250" s="29">
        <f t="shared" si="407"/>
        <v>0</v>
      </c>
      <c r="M250" s="29">
        <f t="shared" si="407"/>
        <v>0</v>
      </c>
      <c r="N250" s="29">
        <f t="shared" si="407"/>
        <v>0</v>
      </c>
      <c r="O250" s="29">
        <f t="shared" si="407"/>
        <v>1573</v>
      </c>
      <c r="P250" s="29">
        <f t="shared" si="407"/>
        <v>0</v>
      </c>
      <c r="Q250" s="29">
        <f t="shared" si="407"/>
        <v>1573</v>
      </c>
      <c r="R250" s="29">
        <f t="shared" si="407"/>
        <v>0</v>
      </c>
      <c r="S250" s="29">
        <f t="shared" si="407"/>
        <v>1227</v>
      </c>
      <c r="T250" s="29">
        <f t="shared" si="407"/>
        <v>0</v>
      </c>
      <c r="U250" s="29">
        <f t="shared" si="407"/>
        <v>1734</v>
      </c>
      <c r="V250" s="29">
        <f t="shared" si="407"/>
        <v>0</v>
      </c>
      <c r="W250" s="29">
        <f t="shared" si="407"/>
        <v>0</v>
      </c>
      <c r="X250" s="29">
        <f t="shared" si="407"/>
        <v>0</v>
      </c>
      <c r="Y250" s="31"/>
    </row>
    <row r="251" spans="1:25" s="75" customFormat="1" ht="22.5" customHeight="1">
      <c r="A251" s="71">
        <v>1</v>
      </c>
      <c r="B251" s="71" t="s">
        <v>221</v>
      </c>
      <c r="C251" s="72" t="s">
        <v>159</v>
      </c>
      <c r="D251" s="73">
        <f>D252+D255+D257</f>
        <v>5581</v>
      </c>
      <c r="E251" s="73">
        <f t="shared" ref="E251:X251" si="408">E252+E255+E257</f>
        <v>1047</v>
      </c>
      <c r="F251" s="74">
        <f t="shared" si="408"/>
        <v>1047</v>
      </c>
      <c r="G251" s="73">
        <f t="shared" si="408"/>
        <v>0</v>
      </c>
      <c r="H251" s="73">
        <f t="shared" si="408"/>
        <v>0</v>
      </c>
      <c r="I251" s="73">
        <f t="shared" si="408"/>
        <v>0</v>
      </c>
      <c r="J251" s="73">
        <f t="shared" si="408"/>
        <v>0</v>
      </c>
      <c r="K251" s="73">
        <f t="shared" si="408"/>
        <v>0</v>
      </c>
      <c r="L251" s="73">
        <f t="shared" si="408"/>
        <v>0</v>
      </c>
      <c r="M251" s="73">
        <f t="shared" si="408"/>
        <v>0</v>
      </c>
      <c r="N251" s="73">
        <f t="shared" si="408"/>
        <v>0</v>
      </c>
      <c r="O251" s="73">
        <f t="shared" si="408"/>
        <v>1573</v>
      </c>
      <c r="P251" s="73">
        <f t="shared" si="408"/>
        <v>0</v>
      </c>
      <c r="Q251" s="73">
        <f t="shared" si="408"/>
        <v>1573</v>
      </c>
      <c r="R251" s="73">
        <f t="shared" si="408"/>
        <v>0</v>
      </c>
      <c r="S251" s="73">
        <f t="shared" si="408"/>
        <v>1227</v>
      </c>
      <c r="T251" s="73">
        <f t="shared" si="408"/>
        <v>0</v>
      </c>
      <c r="U251" s="73">
        <f t="shared" si="408"/>
        <v>1734</v>
      </c>
      <c r="V251" s="73">
        <f t="shared" si="408"/>
        <v>0</v>
      </c>
      <c r="W251" s="73">
        <f t="shared" si="408"/>
        <v>0</v>
      </c>
      <c r="X251" s="73">
        <f t="shared" si="408"/>
        <v>0</v>
      </c>
      <c r="Y251" s="71"/>
    </row>
    <row r="252" spans="1:25" s="88" customFormat="1" ht="39" customHeight="1">
      <c r="A252" s="76" t="s">
        <v>8</v>
      </c>
      <c r="B252" s="77" t="s">
        <v>163</v>
      </c>
      <c r="C252" s="78" t="s">
        <v>164</v>
      </c>
      <c r="D252" s="59">
        <f>SUM(D253:D254)</f>
        <v>3307</v>
      </c>
      <c r="E252" s="59">
        <f t="shared" ref="E252:X252" si="409">SUM(E253:E254)</f>
        <v>0</v>
      </c>
      <c r="F252" s="60">
        <f t="shared" si="409"/>
        <v>0</v>
      </c>
      <c r="G252" s="59">
        <f t="shared" si="409"/>
        <v>0</v>
      </c>
      <c r="H252" s="59">
        <f t="shared" si="409"/>
        <v>0</v>
      </c>
      <c r="I252" s="59">
        <f t="shared" si="409"/>
        <v>0</v>
      </c>
      <c r="J252" s="59">
        <f t="shared" si="409"/>
        <v>0</v>
      </c>
      <c r="K252" s="59">
        <f t="shared" si="409"/>
        <v>0</v>
      </c>
      <c r="L252" s="59">
        <f t="shared" si="409"/>
        <v>0</v>
      </c>
      <c r="M252" s="59">
        <f t="shared" si="409"/>
        <v>0</v>
      </c>
      <c r="N252" s="59">
        <f t="shared" si="409"/>
        <v>0</v>
      </c>
      <c r="O252" s="59">
        <f t="shared" si="409"/>
        <v>1573</v>
      </c>
      <c r="P252" s="59">
        <f t="shared" si="409"/>
        <v>0</v>
      </c>
      <c r="Q252" s="59">
        <f t="shared" si="409"/>
        <v>1573</v>
      </c>
      <c r="R252" s="59">
        <f t="shared" si="409"/>
        <v>0</v>
      </c>
      <c r="S252" s="59">
        <f t="shared" si="409"/>
        <v>0</v>
      </c>
      <c r="T252" s="59">
        <f t="shared" si="409"/>
        <v>0</v>
      </c>
      <c r="U252" s="59">
        <f t="shared" si="409"/>
        <v>1734</v>
      </c>
      <c r="V252" s="59">
        <f t="shared" si="409"/>
        <v>0</v>
      </c>
      <c r="W252" s="59">
        <f t="shared" si="409"/>
        <v>0</v>
      </c>
      <c r="X252" s="59">
        <f t="shared" si="409"/>
        <v>0</v>
      </c>
      <c r="Y252" s="76"/>
    </row>
    <row r="253" spans="1:25" s="99" customFormat="1" ht="37.5" customHeight="1">
      <c r="A253" s="97"/>
      <c r="B253" s="42" t="s">
        <v>246</v>
      </c>
      <c r="C253" s="98"/>
      <c r="D253" s="43">
        <f>E253+J253+N253+O253+SUM(R253:V253)</f>
        <v>1573</v>
      </c>
      <c r="E253" s="44">
        <f>SUM(F253:I253)</f>
        <v>0</v>
      </c>
      <c r="F253" s="47"/>
      <c r="G253" s="48"/>
      <c r="H253" s="48"/>
      <c r="I253" s="48"/>
      <c r="J253" s="44">
        <f t="shared" ref="J253:J254" si="410">SUM(K253:M253)</f>
        <v>0</v>
      </c>
      <c r="K253" s="48"/>
      <c r="L253" s="48"/>
      <c r="M253" s="48"/>
      <c r="N253" s="48"/>
      <c r="O253" s="44">
        <f t="shared" ref="O253:O254" si="411">SUM(P253:Q253)</f>
        <v>1573</v>
      </c>
      <c r="P253" s="48"/>
      <c r="Q253" s="48">
        <v>1573</v>
      </c>
      <c r="R253" s="48"/>
      <c r="S253" s="48"/>
      <c r="T253" s="48"/>
      <c r="U253" s="48"/>
      <c r="V253" s="44">
        <f t="shared" ref="V253:V254" si="412">SUM(W253:X253)</f>
        <v>0</v>
      </c>
      <c r="W253" s="48"/>
      <c r="X253" s="48"/>
      <c r="Y253" s="97"/>
    </row>
    <row r="254" spans="1:25" s="99" customFormat="1" ht="24" customHeight="1">
      <c r="A254" s="97"/>
      <c r="B254" s="42" t="s">
        <v>247</v>
      </c>
      <c r="C254" s="98"/>
      <c r="D254" s="43">
        <f>E254+J254+N254+O254+SUM(R254:V254)</f>
        <v>1734</v>
      </c>
      <c r="E254" s="44">
        <f>SUM(F254:I254)</f>
        <v>0</v>
      </c>
      <c r="F254" s="47"/>
      <c r="G254" s="48"/>
      <c r="H254" s="48"/>
      <c r="I254" s="48"/>
      <c r="J254" s="44">
        <f t="shared" si="410"/>
        <v>0</v>
      </c>
      <c r="K254" s="48"/>
      <c r="L254" s="48"/>
      <c r="M254" s="48"/>
      <c r="N254" s="48"/>
      <c r="O254" s="44">
        <f t="shared" si="411"/>
        <v>0</v>
      </c>
      <c r="P254" s="48"/>
      <c r="Q254" s="48"/>
      <c r="R254" s="48"/>
      <c r="S254" s="48"/>
      <c r="T254" s="48"/>
      <c r="U254" s="48">
        <v>1734</v>
      </c>
      <c r="V254" s="44">
        <f t="shared" si="412"/>
        <v>0</v>
      </c>
      <c r="W254" s="48"/>
      <c r="X254" s="48"/>
      <c r="Y254" s="97"/>
    </row>
    <row r="255" spans="1:25" s="88" customFormat="1" ht="23.25" customHeight="1">
      <c r="A255" s="76" t="s">
        <v>9</v>
      </c>
      <c r="B255" s="77" t="s">
        <v>167</v>
      </c>
      <c r="C255" s="78" t="s">
        <v>168</v>
      </c>
      <c r="D255" s="59">
        <f>D256</f>
        <v>1227</v>
      </c>
      <c r="E255" s="59">
        <f t="shared" ref="E255:X255" si="413">E256</f>
        <v>0</v>
      </c>
      <c r="F255" s="60">
        <f t="shared" si="413"/>
        <v>0</v>
      </c>
      <c r="G255" s="59">
        <f t="shared" si="413"/>
        <v>0</v>
      </c>
      <c r="H255" s="59">
        <f t="shared" si="413"/>
        <v>0</v>
      </c>
      <c r="I255" s="59">
        <f t="shared" si="413"/>
        <v>0</v>
      </c>
      <c r="J255" s="59">
        <f t="shared" si="413"/>
        <v>0</v>
      </c>
      <c r="K255" s="59">
        <f t="shared" si="413"/>
        <v>0</v>
      </c>
      <c r="L255" s="59">
        <f t="shared" si="413"/>
        <v>0</v>
      </c>
      <c r="M255" s="59">
        <f t="shared" si="413"/>
        <v>0</v>
      </c>
      <c r="N255" s="59">
        <f t="shared" si="413"/>
        <v>0</v>
      </c>
      <c r="O255" s="59">
        <f t="shared" si="413"/>
        <v>0</v>
      </c>
      <c r="P255" s="59">
        <f t="shared" si="413"/>
        <v>0</v>
      </c>
      <c r="Q255" s="59">
        <f t="shared" si="413"/>
        <v>0</v>
      </c>
      <c r="R255" s="59">
        <f t="shared" si="413"/>
        <v>0</v>
      </c>
      <c r="S255" s="59">
        <f t="shared" si="413"/>
        <v>1227</v>
      </c>
      <c r="T255" s="59">
        <f t="shared" si="413"/>
        <v>0</v>
      </c>
      <c r="U255" s="59">
        <f t="shared" si="413"/>
        <v>0</v>
      </c>
      <c r="V255" s="59">
        <f t="shared" si="413"/>
        <v>0</v>
      </c>
      <c r="W255" s="59">
        <f t="shared" si="413"/>
        <v>0</v>
      </c>
      <c r="X255" s="59">
        <f t="shared" si="413"/>
        <v>0</v>
      </c>
      <c r="Y255" s="76"/>
    </row>
    <row r="256" spans="1:25" s="3" customFormat="1" ht="25.5" customHeight="1">
      <c r="A256" s="80"/>
      <c r="B256" s="42" t="s">
        <v>248</v>
      </c>
      <c r="C256" s="81"/>
      <c r="D256" s="43">
        <f>E256+J256+N256+O256+SUM(R256:V256)</f>
        <v>1227</v>
      </c>
      <c r="E256" s="44">
        <f>SUM(F256:I256)</f>
        <v>0</v>
      </c>
      <c r="F256" s="47"/>
      <c r="G256" s="48"/>
      <c r="H256" s="48"/>
      <c r="I256" s="48"/>
      <c r="J256" s="44">
        <f t="shared" ref="J256" si="414">SUM(K256:M256)</f>
        <v>0</v>
      </c>
      <c r="K256" s="48"/>
      <c r="L256" s="48"/>
      <c r="M256" s="48"/>
      <c r="N256" s="48"/>
      <c r="O256" s="44">
        <f t="shared" ref="O256" si="415">SUM(P256:Q256)</f>
        <v>0</v>
      </c>
      <c r="P256" s="48"/>
      <c r="Q256" s="48"/>
      <c r="R256" s="48"/>
      <c r="S256" s="48">
        <v>1227</v>
      </c>
      <c r="T256" s="48"/>
      <c r="U256" s="48"/>
      <c r="V256" s="44">
        <f t="shared" ref="V256" si="416">SUM(W256:X256)</f>
        <v>0</v>
      </c>
      <c r="W256" s="48"/>
      <c r="X256" s="48"/>
      <c r="Y256" s="80"/>
    </row>
    <row r="257" spans="1:25" s="79" customFormat="1" ht="40.5" customHeight="1">
      <c r="A257" s="76" t="s">
        <v>20</v>
      </c>
      <c r="B257" s="77" t="s">
        <v>171</v>
      </c>
      <c r="C257" s="78" t="s">
        <v>172</v>
      </c>
      <c r="D257" s="59">
        <f>SUM(D258:D259)</f>
        <v>1047</v>
      </c>
      <c r="E257" s="59">
        <f t="shared" ref="E257:X257" si="417">SUM(E258:E259)</f>
        <v>1047</v>
      </c>
      <c r="F257" s="60">
        <f t="shared" si="417"/>
        <v>1047</v>
      </c>
      <c r="G257" s="59">
        <f t="shared" si="417"/>
        <v>0</v>
      </c>
      <c r="H257" s="59">
        <f t="shared" si="417"/>
        <v>0</v>
      </c>
      <c r="I257" s="59">
        <f t="shared" si="417"/>
        <v>0</v>
      </c>
      <c r="J257" s="59">
        <f t="shared" si="417"/>
        <v>0</v>
      </c>
      <c r="K257" s="59">
        <f t="shared" si="417"/>
        <v>0</v>
      </c>
      <c r="L257" s="59">
        <f t="shared" si="417"/>
        <v>0</v>
      </c>
      <c r="M257" s="59">
        <f t="shared" si="417"/>
        <v>0</v>
      </c>
      <c r="N257" s="59">
        <f t="shared" si="417"/>
        <v>0</v>
      </c>
      <c r="O257" s="59">
        <f t="shared" si="417"/>
        <v>0</v>
      </c>
      <c r="P257" s="59">
        <f t="shared" si="417"/>
        <v>0</v>
      </c>
      <c r="Q257" s="59">
        <f t="shared" si="417"/>
        <v>0</v>
      </c>
      <c r="R257" s="59">
        <f t="shared" si="417"/>
        <v>0</v>
      </c>
      <c r="S257" s="59">
        <f t="shared" si="417"/>
        <v>0</v>
      </c>
      <c r="T257" s="59">
        <f t="shared" si="417"/>
        <v>0</v>
      </c>
      <c r="U257" s="59">
        <f t="shared" si="417"/>
        <v>0</v>
      </c>
      <c r="V257" s="59">
        <f t="shared" si="417"/>
        <v>0</v>
      </c>
      <c r="W257" s="59">
        <f t="shared" si="417"/>
        <v>0</v>
      </c>
      <c r="X257" s="59">
        <f t="shared" si="417"/>
        <v>0</v>
      </c>
      <c r="Y257" s="76"/>
    </row>
    <row r="258" spans="1:25" s="3" customFormat="1" ht="42.75" customHeight="1">
      <c r="A258" s="80"/>
      <c r="B258" s="42" t="s">
        <v>249</v>
      </c>
      <c r="C258" s="81"/>
      <c r="D258" s="43">
        <f t="shared" ref="D258:D259" si="418">E258+J258+N258+O258+SUM(R258:V258)</f>
        <v>826</v>
      </c>
      <c r="E258" s="44">
        <f t="shared" ref="E258:E259" si="419">SUM(F258:I258)</f>
        <v>826</v>
      </c>
      <c r="F258" s="47">
        <v>826</v>
      </c>
      <c r="G258" s="48"/>
      <c r="H258" s="48"/>
      <c r="I258" s="48"/>
      <c r="J258" s="44">
        <f t="shared" ref="J258:J259" si="420">SUM(K258:M258)</f>
        <v>0</v>
      </c>
      <c r="K258" s="48"/>
      <c r="L258" s="48"/>
      <c r="M258" s="48"/>
      <c r="N258" s="48"/>
      <c r="O258" s="44">
        <f t="shared" ref="O258:O259" si="421">SUM(P258:Q258)</f>
        <v>0</v>
      </c>
      <c r="P258" s="48"/>
      <c r="Q258" s="48"/>
      <c r="R258" s="48"/>
      <c r="S258" s="48"/>
      <c r="T258" s="48"/>
      <c r="U258" s="48"/>
      <c r="V258" s="44">
        <f t="shared" ref="V258:V259" si="422">SUM(W258:X258)</f>
        <v>0</v>
      </c>
      <c r="W258" s="48"/>
      <c r="X258" s="48"/>
      <c r="Y258" s="80"/>
    </row>
    <row r="259" spans="1:25" s="3" customFormat="1" ht="21.75" customHeight="1">
      <c r="A259" s="80"/>
      <c r="B259" s="42" t="s">
        <v>222</v>
      </c>
      <c r="C259" s="81"/>
      <c r="D259" s="43">
        <f t="shared" si="418"/>
        <v>221</v>
      </c>
      <c r="E259" s="44">
        <f t="shared" si="419"/>
        <v>221</v>
      </c>
      <c r="F259" s="47">
        <v>221</v>
      </c>
      <c r="G259" s="48"/>
      <c r="H259" s="48"/>
      <c r="I259" s="48"/>
      <c r="J259" s="44">
        <f t="shared" si="420"/>
        <v>0</v>
      </c>
      <c r="K259" s="48"/>
      <c r="L259" s="48"/>
      <c r="M259" s="48"/>
      <c r="N259" s="48"/>
      <c r="O259" s="44">
        <f t="shared" si="421"/>
        <v>0</v>
      </c>
      <c r="P259" s="48"/>
      <c r="Q259" s="48"/>
      <c r="R259" s="48"/>
      <c r="S259" s="48"/>
      <c r="T259" s="48"/>
      <c r="U259" s="48"/>
      <c r="V259" s="44">
        <f t="shared" si="422"/>
        <v>0</v>
      </c>
      <c r="W259" s="48"/>
      <c r="X259" s="48"/>
      <c r="Y259" s="80"/>
    </row>
    <row r="260" spans="1:25" s="75" customFormat="1" ht="26.25" customHeight="1">
      <c r="A260" s="71">
        <v>2</v>
      </c>
      <c r="B260" s="71" t="s">
        <v>223</v>
      </c>
      <c r="C260" s="72" t="s">
        <v>176</v>
      </c>
      <c r="D260" s="73">
        <f>D261</f>
        <v>70</v>
      </c>
      <c r="E260" s="73">
        <f t="shared" ref="E260:X260" si="423">E261</f>
        <v>70</v>
      </c>
      <c r="F260" s="74">
        <f t="shared" si="423"/>
        <v>70</v>
      </c>
      <c r="G260" s="73">
        <f t="shared" si="423"/>
        <v>0</v>
      </c>
      <c r="H260" s="73">
        <f t="shared" si="423"/>
        <v>0</v>
      </c>
      <c r="I260" s="73">
        <f t="shared" si="423"/>
        <v>0</v>
      </c>
      <c r="J260" s="73">
        <f t="shared" si="423"/>
        <v>0</v>
      </c>
      <c r="K260" s="73">
        <f t="shared" si="423"/>
        <v>0</v>
      </c>
      <c r="L260" s="73">
        <f t="shared" si="423"/>
        <v>0</v>
      </c>
      <c r="M260" s="73">
        <f t="shared" si="423"/>
        <v>0</v>
      </c>
      <c r="N260" s="73">
        <f t="shared" si="423"/>
        <v>0</v>
      </c>
      <c r="O260" s="73">
        <f t="shared" si="423"/>
        <v>0</v>
      </c>
      <c r="P260" s="73">
        <f t="shared" si="423"/>
        <v>0</v>
      </c>
      <c r="Q260" s="73">
        <f t="shared" si="423"/>
        <v>0</v>
      </c>
      <c r="R260" s="73">
        <f t="shared" si="423"/>
        <v>0</v>
      </c>
      <c r="S260" s="73">
        <f t="shared" si="423"/>
        <v>0</v>
      </c>
      <c r="T260" s="73">
        <f t="shared" si="423"/>
        <v>0</v>
      </c>
      <c r="U260" s="73">
        <f t="shared" si="423"/>
        <v>0</v>
      </c>
      <c r="V260" s="73">
        <f t="shared" si="423"/>
        <v>0</v>
      </c>
      <c r="W260" s="73">
        <f t="shared" si="423"/>
        <v>0</v>
      </c>
      <c r="X260" s="73">
        <f t="shared" si="423"/>
        <v>0</v>
      </c>
      <c r="Y260" s="71"/>
    </row>
    <row r="261" spans="1:25" s="87" customFormat="1" ht="75">
      <c r="A261" s="76"/>
      <c r="B261" s="77" t="s">
        <v>191</v>
      </c>
      <c r="C261" s="78" t="s">
        <v>192</v>
      </c>
      <c r="D261" s="59">
        <f>SUM(D262:D264)</f>
        <v>70</v>
      </c>
      <c r="E261" s="59">
        <f t="shared" ref="E261:X261" si="424">SUM(E262:E264)</f>
        <v>70</v>
      </c>
      <c r="F261" s="60">
        <f t="shared" si="424"/>
        <v>70</v>
      </c>
      <c r="G261" s="59">
        <f t="shared" si="424"/>
        <v>0</v>
      </c>
      <c r="H261" s="59">
        <f t="shared" si="424"/>
        <v>0</v>
      </c>
      <c r="I261" s="59">
        <f t="shared" si="424"/>
        <v>0</v>
      </c>
      <c r="J261" s="59">
        <f t="shared" si="424"/>
        <v>0</v>
      </c>
      <c r="K261" s="59">
        <f t="shared" si="424"/>
        <v>0</v>
      </c>
      <c r="L261" s="59">
        <f t="shared" si="424"/>
        <v>0</v>
      </c>
      <c r="M261" s="59">
        <f t="shared" si="424"/>
        <v>0</v>
      </c>
      <c r="N261" s="59">
        <f t="shared" si="424"/>
        <v>0</v>
      </c>
      <c r="O261" s="59">
        <f t="shared" si="424"/>
        <v>0</v>
      </c>
      <c r="P261" s="59">
        <f t="shared" si="424"/>
        <v>0</v>
      </c>
      <c r="Q261" s="59">
        <f t="shared" si="424"/>
        <v>0</v>
      </c>
      <c r="R261" s="59">
        <f t="shared" si="424"/>
        <v>0</v>
      </c>
      <c r="S261" s="59">
        <f t="shared" si="424"/>
        <v>0</v>
      </c>
      <c r="T261" s="59">
        <f t="shared" si="424"/>
        <v>0</v>
      </c>
      <c r="U261" s="59">
        <f t="shared" si="424"/>
        <v>0</v>
      </c>
      <c r="V261" s="59">
        <f t="shared" si="424"/>
        <v>0</v>
      </c>
      <c r="W261" s="59">
        <f t="shared" si="424"/>
        <v>0</v>
      </c>
      <c r="X261" s="59">
        <f t="shared" si="424"/>
        <v>0</v>
      </c>
      <c r="Y261" s="76"/>
    </row>
    <row r="262" spans="1:25" s="3" customFormat="1" ht="42.75" customHeight="1">
      <c r="A262" s="80"/>
      <c r="B262" s="42" t="s">
        <v>250</v>
      </c>
      <c r="C262" s="81"/>
      <c r="D262" s="43">
        <f t="shared" ref="D262:D264" si="425">E262+J262+N262+O262+SUM(R262:V262)</f>
        <v>50</v>
      </c>
      <c r="E262" s="44">
        <f t="shared" ref="E262:E264" si="426">SUM(F262:I262)</f>
        <v>50</v>
      </c>
      <c r="F262" s="47">
        <v>50</v>
      </c>
      <c r="G262" s="48"/>
      <c r="H262" s="48"/>
      <c r="I262" s="48"/>
      <c r="J262" s="44">
        <f t="shared" ref="J262:J264" si="427">SUM(K262:M262)</f>
        <v>0</v>
      </c>
      <c r="K262" s="48"/>
      <c r="L262" s="48"/>
      <c r="M262" s="48"/>
      <c r="N262" s="48"/>
      <c r="O262" s="44">
        <f t="shared" ref="O262:O264" si="428">SUM(P262:Q262)</f>
        <v>0</v>
      </c>
      <c r="P262" s="48"/>
      <c r="Q262" s="48"/>
      <c r="R262" s="48"/>
      <c r="S262" s="48"/>
      <c r="T262" s="48"/>
      <c r="U262" s="48"/>
      <c r="V262" s="44">
        <f t="shared" ref="V262:V264" si="429">SUM(W262:X262)</f>
        <v>0</v>
      </c>
      <c r="W262" s="48"/>
      <c r="X262" s="48"/>
      <c r="Y262" s="80"/>
    </row>
    <row r="263" spans="1:25" s="3" customFormat="1" ht="42.75" customHeight="1">
      <c r="A263" s="80"/>
      <c r="B263" s="42" t="s">
        <v>251</v>
      </c>
      <c r="C263" s="81"/>
      <c r="D263" s="43">
        <f t="shared" si="425"/>
        <v>10</v>
      </c>
      <c r="E263" s="44">
        <f t="shared" si="426"/>
        <v>10</v>
      </c>
      <c r="F263" s="47">
        <v>10</v>
      </c>
      <c r="G263" s="48"/>
      <c r="H263" s="48"/>
      <c r="I263" s="48"/>
      <c r="J263" s="44">
        <f t="shared" si="427"/>
        <v>0</v>
      </c>
      <c r="K263" s="48"/>
      <c r="L263" s="48"/>
      <c r="M263" s="48"/>
      <c r="N263" s="48"/>
      <c r="O263" s="44">
        <f t="shared" si="428"/>
        <v>0</v>
      </c>
      <c r="P263" s="48"/>
      <c r="Q263" s="48"/>
      <c r="R263" s="48"/>
      <c r="S263" s="48"/>
      <c r="T263" s="48"/>
      <c r="U263" s="48"/>
      <c r="V263" s="44">
        <f t="shared" si="429"/>
        <v>0</v>
      </c>
      <c r="W263" s="48"/>
      <c r="X263" s="48"/>
      <c r="Y263" s="80"/>
    </row>
    <row r="264" spans="1:25" s="3" customFormat="1" ht="57" customHeight="1">
      <c r="A264" s="80"/>
      <c r="B264" s="42" t="s">
        <v>252</v>
      </c>
      <c r="C264" s="81"/>
      <c r="D264" s="43">
        <f t="shared" si="425"/>
        <v>10</v>
      </c>
      <c r="E264" s="44">
        <f t="shared" si="426"/>
        <v>10</v>
      </c>
      <c r="F264" s="47">
        <v>10</v>
      </c>
      <c r="G264" s="48"/>
      <c r="H264" s="48"/>
      <c r="I264" s="48"/>
      <c r="J264" s="44">
        <f t="shared" si="427"/>
        <v>0</v>
      </c>
      <c r="K264" s="48"/>
      <c r="L264" s="48"/>
      <c r="M264" s="48"/>
      <c r="N264" s="48"/>
      <c r="O264" s="44">
        <f t="shared" si="428"/>
        <v>0</v>
      </c>
      <c r="P264" s="48"/>
      <c r="Q264" s="48"/>
      <c r="R264" s="48"/>
      <c r="S264" s="48"/>
      <c r="T264" s="48"/>
      <c r="U264" s="48"/>
      <c r="V264" s="44">
        <f t="shared" si="429"/>
        <v>0</v>
      </c>
      <c r="W264" s="48"/>
      <c r="X264" s="48"/>
      <c r="Y264" s="80"/>
    </row>
    <row r="265" spans="1:25" s="32" customFormat="1" ht="21" customHeight="1">
      <c r="A265" s="31" t="s">
        <v>104</v>
      </c>
      <c r="B265" s="31" t="s">
        <v>253</v>
      </c>
      <c r="C265" s="28"/>
      <c r="D265" s="29">
        <f>D266+D273</f>
        <v>2470</v>
      </c>
      <c r="E265" s="29">
        <f t="shared" ref="E265:X265" si="430">E266+E273</f>
        <v>0</v>
      </c>
      <c r="F265" s="30">
        <f t="shared" si="430"/>
        <v>0</v>
      </c>
      <c r="G265" s="29">
        <f t="shared" si="430"/>
        <v>0</v>
      </c>
      <c r="H265" s="29">
        <f t="shared" si="430"/>
        <v>0</v>
      </c>
      <c r="I265" s="29">
        <f t="shared" si="430"/>
        <v>0</v>
      </c>
      <c r="J265" s="29">
        <f t="shared" si="430"/>
        <v>0</v>
      </c>
      <c r="K265" s="29">
        <f t="shared" si="430"/>
        <v>0</v>
      </c>
      <c r="L265" s="29">
        <f t="shared" si="430"/>
        <v>0</v>
      </c>
      <c r="M265" s="29">
        <f t="shared" si="430"/>
        <v>0</v>
      </c>
      <c r="N265" s="29">
        <f t="shared" si="430"/>
        <v>0</v>
      </c>
      <c r="O265" s="29">
        <f t="shared" si="430"/>
        <v>0</v>
      </c>
      <c r="P265" s="29">
        <f t="shared" si="430"/>
        <v>0</v>
      </c>
      <c r="Q265" s="29">
        <f t="shared" si="430"/>
        <v>0</v>
      </c>
      <c r="R265" s="29">
        <f t="shared" si="430"/>
        <v>0</v>
      </c>
      <c r="S265" s="29">
        <f t="shared" si="430"/>
        <v>2470</v>
      </c>
      <c r="T265" s="29">
        <f t="shared" si="430"/>
        <v>0</v>
      </c>
      <c r="U265" s="29">
        <f t="shared" si="430"/>
        <v>0</v>
      </c>
      <c r="V265" s="29">
        <f t="shared" si="430"/>
        <v>0</v>
      </c>
      <c r="W265" s="29">
        <f t="shared" si="430"/>
        <v>0</v>
      </c>
      <c r="X265" s="29">
        <f t="shared" si="430"/>
        <v>0</v>
      </c>
      <c r="Y265" s="31"/>
    </row>
    <row r="266" spans="1:25" s="75" customFormat="1" ht="21" customHeight="1">
      <c r="A266" s="71">
        <v>1</v>
      </c>
      <c r="B266" s="71" t="s">
        <v>223</v>
      </c>
      <c r="C266" s="72" t="s">
        <v>176</v>
      </c>
      <c r="D266" s="73">
        <f>D267+D270</f>
        <v>250</v>
      </c>
      <c r="E266" s="73">
        <f t="shared" ref="E266:X266" si="431">E267+E270</f>
        <v>0</v>
      </c>
      <c r="F266" s="74">
        <f t="shared" si="431"/>
        <v>0</v>
      </c>
      <c r="G266" s="73">
        <f t="shared" si="431"/>
        <v>0</v>
      </c>
      <c r="H266" s="73">
        <f t="shared" si="431"/>
        <v>0</v>
      </c>
      <c r="I266" s="73">
        <f t="shared" si="431"/>
        <v>0</v>
      </c>
      <c r="J266" s="73">
        <f t="shared" si="431"/>
        <v>0</v>
      </c>
      <c r="K266" s="73">
        <f t="shared" si="431"/>
        <v>0</v>
      </c>
      <c r="L266" s="73">
        <f t="shared" si="431"/>
        <v>0</v>
      </c>
      <c r="M266" s="73">
        <f t="shared" si="431"/>
        <v>0</v>
      </c>
      <c r="N266" s="73">
        <f t="shared" si="431"/>
        <v>0</v>
      </c>
      <c r="O266" s="73">
        <f t="shared" si="431"/>
        <v>0</v>
      </c>
      <c r="P266" s="73">
        <f t="shared" si="431"/>
        <v>0</v>
      </c>
      <c r="Q266" s="73">
        <f t="shared" si="431"/>
        <v>0</v>
      </c>
      <c r="R266" s="73">
        <f t="shared" si="431"/>
        <v>0</v>
      </c>
      <c r="S266" s="73">
        <f t="shared" si="431"/>
        <v>250</v>
      </c>
      <c r="T266" s="73">
        <f t="shared" si="431"/>
        <v>0</v>
      </c>
      <c r="U266" s="73">
        <f t="shared" si="431"/>
        <v>0</v>
      </c>
      <c r="V266" s="73">
        <f t="shared" si="431"/>
        <v>0</v>
      </c>
      <c r="W266" s="73">
        <f t="shared" si="431"/>
        <v>0</v>
      </c>
      <c r="X266" s="73">
        <f t="shared" si="431"/>
        <v>0</v>
      </c>
      <c r="Y266" s="71"/>
    </row>
    <row r="267" spans="1:25" s="79" customFormat="1" ht="71.25" customHeight="1">
      <c r="A267" s="76" t="s">
        <v>8</v>
      </c>
      <c r="B267" s="77" t="s">
        <v>183</v>
      </c>
      <c r="C267" s="78" t="s">
        <v>184</v>
      </c>
      <c r="D267" s="59">
        <f>SUM(D268:D269)</f>
        <v>70</v>
      </c>
      <c r="E267" s="59">
        <f t="shared" ref="E267:X267" si="432">SUM(E268:E269)</f>
        <v>0</v>
      </c>
      <c r="F267" s="60">
        <f t="shared" si="432"/>
        <v>0</v>
      </c>
      <c r="G267" s="59">
        <f t="shared" si="432"/>
        <v>0</v>
      </c>
      <c r="H267" s="59">
        <f t="shared" si="432"/>
        <v>0</v>
      </c>
      <c r="I267" s="59">
        <f t="shared" si="432"/>
        <v>0</v>
      </c>
      <c r="J267" s="59">
        <f t="shared" si="432"/>
        <v>0</v>
      </c>
      <c r="K267" s="59">
        <f t="shared" si="432"/>
        <v>0</v>
      </c>
      <c r="L267" s="59">
        <f t="shared" si="432"/>
        <v>0</v>
      </c>
      <c r="M267" s="59">
        <f t="shared" si="432"/>
        <v>0</v>
      </c>
      <c r="N267" s="59">
        <f t="shared" si="432"/>
        <v>0</v>
      </c>
      <c r="O267" s="59">
        <f t="shared" si="432"/>
        <v>0</v>
      </c>
      <c r="P267" s="59">
        <f t="shared" si="432"/>
        <v>0</v>
      </c>
      <c r="Q267" s="59">
        <f t="shared" si="432"/>
        <v>0</v>
      </c>
      <c r="R267" s="59">
        <f t="shared" si="432"/>
        <v>0</v>
      </c>
      <c r="S267" s="59">
        <f t="shared" si="432"/>
        <v>70</v>
      </c>
      <c r="T267" s="59">
        <f t="shared" si="432"/>
        <v>0</v>
      </c>
      <c r="U267" s="59">
        <f t="shared" si="432"/>
        <v>0</v>
      </c>
      <c r="V267" s="59">
        <f t="shared" si="432"/>
        <v>0</v>
      </c>
      <c r="W267" s="59">
        <f t="shared" si="432"/>
        <v>0</v>
      </c>
      <c r="X267" s="59">
        <f t="shared" si="432"/>
        <v>0</v>
      </c>
      <c r="Y267" s="76"/>
    </row>
    <row r="268" spans="1:25" s="3" customFormat="1" ht="37.5" customHeight="1">
      <c r="A268" s="80"/>
      <c r="B268" s="42" t="s">
        <v>254</v>
      </c>
      <c r="C268" s="81"/>
      <c r="D268" s="43">
        <f t="shared" ref="D268:D269" si="433">E268+J268+N268+O268+SUM(R268:V268)</f>
        <v>50</v>
      </c>
      <c r="E268" s="44">
        <f t="shared" ref="E268:E269" si="434">SUM(F268:I268)</f>
        <v>0</v>
      </c>
      <c r="F268" s="47"/>
      <c r="G268" s="48"/>
      <c r="H268" s="48"/>
      <c r="I268" s="48"/>
      <c r="J268" s="44">
        <f t="shared" ref="J268:J269" si="435">SUM(K268:M268)</f>
        <v>0</v>
      </c>
      <c r="K268" s="48"/>
      <c r="L268" s="48"/>
      <c r="M268" s="48"/>
      <c r="N268" s="48"/>
      <c r="O268" s="44">
        <f t="shared" ref="O268:O269" si="436">SUM(P268:Q268)</f>
        <v>0</v>
      </c>
      <c r="P268" s="48"/>
      <c r="Q268" s="48"/>
      <c r="R268" s="48"/>
      <c r="S268" s="48">
        <v>50</v>
      </c>
      <c r="T268" s="48"/>
      <c r="U268" s="48"/>
      <c r="V268" s="44">
        <f t="shared" ref="V268:V269" si="437">SUM(W268:X268)</f>
        <v>0</v>
      </c>
      <c r="W268" s="48"/>
      <c r="X268" s="48"/>
      <c r="Y268" s="80"/>
    </row>
    <row r="269" spans="1:25" s="3" customFormat="1" ht="37.5" customHeight="1">
      <c r="A269" s="80"/>
      <c r="B269" s="42" t="s">
        <v>255</v>
      </c>
      <c r="C269" s="81"/>
      <c r="D269" s="43">
        <f t="shared" si="433"/>
        <v>20</v>
      </c>
      <c r="E269" s="44">
        <f t="shared" si="434"/>
        <v>0</v>
      </c>
      <c r="F269" s="47"/>
      <c r="G269" s="48"/>
      <c r="H269" s="48"/>
      <c r="I269" s="48"/>
      <c r="J269" s="44">
        <f t="shared" si="435"/>
        <v>0</v>
      </c>
      <c r="K269" s="48"/>
      <c r="L269" s="48"/>
      <c r="M269" s="48"/>
      <c r="N269" s="48"/>
      <c r="O269" s="44">
        <f t="shared" si="436"/>
        <v>0</v>
      </c>
      <c r="P269" s="48"/>
      <c r="Q269" s="48"/>
      <c r="R269" s="48"/>
      <c r="S269" s="48">
        <v>20</v>
      </c>
      <c r="T269" s="48"/>
      <c r="U269" s="48"/>
      <c r="V269" s="44">
        <f t="shared" si="437"/>
        <v>0</v>
      </c>
      <c r="W269" s="48"/>
      <c r="X269" s="48"/>
      <c r="Y269" s="80"/>
    </row>
    <row r="270" spans="1:25" s="79" customFormat="1" ht="75">
      <c r="A270" s="76" t="s">
        <v>9</v>
      </c>
      <c r="B270" s="77" t="s">
        <v>191</v>
      </c>
      <c r="C270" s="78" t="s">
        <v>192</v>
      </c>
      <c r="D270" s="59">
        <f>SUM(D271:D272)</f>
        <v>180</v>
      </c>
      <c r="E270" s="59">
        <f t="shared" ref="E270:X270" si="438">SUM(E271:E272)</f>
        <v>0</v>
      </c>
      <c r="F270" s="60">
        <f t="shared" si="438"/>
        <v>0</v>
      </c>
      <c r="G270" s="59">
        <f t="shared" si="438"/>
        <v>0</v>
      </c>
      <c r="H270" s="59">
        <f t="shared" si="438"/>
        <v>0</v>
      </c>
      <c r="I270" s="59">
        <f t="shared" si="438"/>
        <v>0</v>
      </c>
      <c r="J270" s="59">
        <f t="shared" si="438"/>
        <v>0</v>
      </c>
      <c r="K270" s="59">
        <f t="shared" si="438"/>
        <v>0</v>
      </c>
      <c r="L270" s="59">
        <f t="shared" si="438"/>
        <v>0</v>
      </c>
      <c r="M270" s="59">
        <f t="shared" si="438"/>
        <v>0</v>
      </c>
      <c r="N270" s="59">
        <f t="shared" si="438"/>
        <v>0</v>
      </c>
      <c r="O270" s="59">
        <f t="shared" si="438"/>
        <v>0</v>
      </c>
      <c r="P270" s="59">
        <f t="shared" si="438"/>
        <v>0</v>
      </c>
      <c r="Q270" s="59">
        <f t="shared" si="438"/>
        <v>0</v>
      </c>
      <c r="R270" s="59">
        <f t="shared" si="438"/>
        <v>0</v>
      </c>
      <c r="S270" s="59">
        <f t="shared" si="438"/>
        <v>180</v>
      </c>
      <c r="T270" s="59">
        <f t="shared" si="438"/>
        <v>0</v>
      </c>
      <c r="U270" s="59">
        <f t="shared" si="438"/>
        <v>0</v>
      </c>
      <c r="V270" s="59">
        <f t="shared" si="438"/>
        <v>0</v>
      </c>
      <c r="W270" s="59">
        <f t="shared" si="438"/>
        <v>0</v>
      </c>
      <c r="X270" s="59">
        <f t="shared" si="438"/>
        <v>0</v>
      </c>
      <c r="Y270" s="76"/>
    </row>
    <row r="271" spans="1:25" s="3" customFormat="1" ht="42.75" customHeight="1">
      <c r="A271" s="80"/>
      <c r="B271" s="42" t="s">
        <v>237</v>
      </c>
      <c r="C271" s="81"/>
      <c r="D271" s="43">
        <f t="shared" ref="D271:D272" si="439">E271+J271+N271+O271+SUM(R271:V271)</f>
        <v>10</v>
      </c>
      <c r="E271" s="44">
        <f t="shared" ref="E271:E272" si="440">SUM(F271:I271)</f>
        <v>0</v>
      </c>
      <c r="F271" s="47"/>
      <c r="G271" s="48"/>
      <c r="H271" s="48"/>
      <c r="I271" s="48"/>
      <c r="J271" s="44">
        <f t="shared" ref="J271:J272" si="441">SUM(K271:M271)</f>
        <v>0</v>
      </c>
      <c r="K271" s="48"/>
      <c r="L271" s="48"/>
      <c r="M271" s="48"/>
      <c r="N271" s="48"/>
      <c r="O271" s="44">
        <f t="shared" ref="O271:O272" si="442">SUM(P271:Q271)</f>
        <v>0</v>
      </c>
      <c r="P271" s="48"/>
      <c r="Q271" s="48"/>
      <c r="R271" s="48"/>
      <c r="S271" s="48">
        <v>10</v>
      </c>
      <c r="T271" s="48"/>
      <c r="U271" s="48"/>
      <c r="V271" s="44">
        <f t="shared" ref="V271:V272" si="443">SUM(W271:X271)</f>
        <v>0</v>
      </c>
      <c r="W271" s="48"/>
      <c r="X271" s="48"/>
      <c r="Y271" s="80"/>
    </row>
    <row r="272" spans="1:25" s="3" customFormat="1" ht="57.75" customHeight="1">
      <c r="A272" s="80"/>
      <c r="B272" s="42" t="s">
        <v>234</v>
      </c>
      <c r="C272" s="81"/>
      <c r="D272" s="43">
        <f t="shared" si="439"/>
        <v>170</v>
      </c>
      <c r="E272" s="44">
        <f t="shared" si="440"/>
        <v>0</v>
      </c>
      <c r="F272" s="47"/>
      <c r="G272" s="48"/>
      <c r="H272" s="48"/>
      <c r="I272" s="48"/>
      <c r="J272" s="44">
        <f t="shared" si="441"/>
        <v>0</v>
      </c>
      <c r="K272" s="48"/>
      <c r="L272" s="48"/>
      <c r="M272" s="48"/>
      <c r="N272" s="48"/>
      <c r="O272" s="44">
        <f t="shared" si="442"/>
        <v>0</v>
      </c>
      <c r="P272" s="48"/>
      <c r="Q272" s="48"/>
      <c r="R272" s="48"/>
      <c r="S272" s="48">
        <v>170</v>
      </c>
      <c r="T272" s="48"/>
      <c r="U272" s="48"/>
      <c r="V272" s="44">
        <f t="shared" si="443"/>
        <v>0</v>
      </c>
      <c r="W272" s="48"/>
      <c r="X272" s="48"/>
      <c r="Y272" s="80"/>
    </row>
    <row r="273" spans="1:25" s="75" customFormat="1" ht="24.75" customHeight="1">
      <c r="A273" s="71">
        <v>2</v>
      </c>
      <c r="B273" s="71" t="s">
        <v>240</v>
      </c>
      <c r="C273" s="72" t="s">
        <v>194</v>
      </c>
      <c r="D273" s="73">
        <f>D274</f>
        <v>2220</v>
      </c>
      <c r="E273" s="73">
        <f t="shared" ref="E273:X273" si="444">E274</f>
        <v>0</v>
      </c>
      <c r="F273" s="74">
        <f t="shared" si="444"/>
        <v>0</v>
      </c>
      <c r="G273" s="73">
        <f t="shared" si="444"/>
        <v>0</v>
      </c>
      <c r="H273" s="73">
        <f t="shared" si="444"/>
        <v>0</v>
      </c>
      <c r="I273" s="73">
        <f t="shared" si="444"/>
        <v>0</v>
      </c>
      <c r="J273" s="73">
        <f t="shared" si="444"/>
        <v>0</v>
      </c>
      <c r="K273" s="73">
        <f t="shared" si="444"/>
        <v>0</v>
      </c>
      <c r="L273" s="73">
        <f t="shared" si="444"/>
        <v>0</v>
      </c>
      <c r="M273" s="73">
        <f t="shared" si="444"/>
        <v>0</v>
      </c>
      <c r="N273" s="73">
        <f t="shared" si="444"/>
        <v>0</v>
      </c>
      <c r="O273" s="73">
        <f t="shared" si="444"/>
        <v>0</v>
      </c>
      <c r="P273" s="73">
        <f t="shared" si="444"/>
        <v>0</v>
      </c>
      <c r="Q273" s="73">
        <f t="shared" si="444"/>
        <v>0</v>
      </c>
      <c r="R273" s="73">
        <f t="shared" si="444"/>
        <v>0</v>
      </c>
      <c r="S273" s="73">
        <f t="shared" si="444"/>
        <v>2220</v>
      </c>
      <c r="T273" s="73">
        <f t="shared" si="444"/>
        <v>0</v>
      </c>
      <c r="U273" s="73">
        <f t="shared" si="444"/>
        <v>0</v>
      </c>
      <c r="V273" s="73">
        <f t="shared" si="444"/>
        <v>0</v>
      </c>
      <c r="W273" s="73">
        <f t="shared" si="444"/>
        <v>0</v>
      </c>
      <c r="X273" s="73">
        <f t="shared" si="444"/>
        <v>0</v>
      </c>
      <c r="Y273" s="71"/>
    </row>
    <row r="274" spans="1:25" s="79" customFormat="1" ht="58.5" customHeight="1">
      <c r="A274" s="76" t="s">
        <v>12</v>
      </c>
      <c r="B274" s="77" t="s">
        <v>199</v>
      </c>
      <c r="C274" s="78" t="s">
        <v>200</v>
      </c>
      <c r="D274" s="59">
        <f>SUM(D275:D282)</f>
        <v>2220</v>
      </c>
      <c r="E274" s="59">
        <f t="shared" ref="E274:X274" si="445">SUM(E275:E282)</f>
        <v>0</v>
      </c>
      <c r="F274" s="60">
        <f t="shared" si="445"/>
        <v>0</v>
      </c>
      <c r="G274" s="59">
        <f t="shared" si="445"/>
        <v>0</v>
      </c>
      <c r="H274" s="59">
        <f t="shared" si="445"/>
        <v>0</v>
      </c>
      <c r="I274" s="59">
        <f t="shared" si="445"/>
        <v>0</v>
      </c>
      <c r="J274" s="59">
        <f t="shared" si="445"/>
        <v>0</v>
      </c>
      <c r="K274" s="59">
        <f t="shared" si="445"/>
        <v>0</v>
      </c>
      <c r="L274" s="59">
        <f t="shared" si="445"/>
        <v>0</v>
      </c>
      <c r="M274" s="59">
        <f t="shared" si="445"/>
        <v>0</v>
      </c>
      <c r="N274" s="59">
        <f t="shared" si="445"/>
        <v>0</v>
      </c>
      <c r="O274" s="59">
        <f t="shared" si="445"/>
        <v>0</v>
      </c>
      <c r="P274" s="59">
        <f t="shared" si="445"/>
        <v>0</v>
      </c>
      <c r="Q274" s="59">
        <f t="shared" si="445"/>
        <v>0</v>
      </c>
      <c r="R274" s="59">
        <f t="shared" si="445"/>
        <v>0</v>
      </c>
      <c r="S274" s="59">
        <f t="shared" si="445"/>
        <v>2220</v>
      </c>
      <c r="T274" s="59">
        <f t="shared" si="445"/>
        <v>0</v>
      </c>
      <c r="U274" s="59">
        <f t="shared" si="445"/>
        <v>0</v>
      </c>
      <c r="V274" s="59">
        <f t="shared" si="445"/>
        <v>0</v>
      </c>
      <c r="W274" s="59">
        <f t="shared" si="445"/>
        <v>0</v>
      </c>
      <c r="X274" s="59">
        <f t="shared" si="445"/>
        <v>0</v>
      </c>
      <c r="Y274" s="76"/>
    </row>
    <row r="275" spans="1:25" s="3" customFormat="1" ht="43.5" customHeight="1">
      <c r="A275" s="80"/>
      <c r="B275" s="42" t="s">
        <v>201</v>
      </c>
      <c r="C275" s="81"/>
      <c r="D275" s="43">
        <f t="shared" ref="D275:D282" si="446">E275+J275+N275+O275+SUM(R275:V275)</f>
        <v>250</v>
      </c>
      <c r="E275" s="44">
        <f t="shared" ref="E275:E282" si="447">SUM(F275:I275)</f>
        <v>0</v>
      </c>
      <c r="F275" s="47"/>
      <c r="G275" s="48"/>
      <c r="H275" s="48"/>
      <c r="I275" s="48"/>
      <c r="J275" s="44">
        <f t="shared" ref="J275:J282" si="448">SUM(K275:M275)</f>
        <v>0</v>
      </c>
      <c r="K275" s="48"/>
      <c r="L275" s="48"/>
      <c r="M275" s="48"/>
      <c r="N275" s="48"/>
      <c r="O275" s="44">
        <f t="shared" ref="O275:O282" si="449">SUM(P275:Q275)</f>
        <v>0</v>
      </c>
      <c r="P275" s="48"/>
      <c r="Q275" s="48"/>
      <c r="R275" s="48"/>
      <c r="S275" s="48">
        <v>250</v>
      </c>
      <c r="T275" s="48"/>
      <c r="U275" s="48"/>
      <c r="V275" s="44">
        <f t="shared" ref="V275:V282" si="450">SUM(W275:X275)</f>
        <v>0</v>
      </c>
      <c r="W275" s="48"/>
      <c r="X275" s="48"/>
      <c r="Y275" s="80"/>
    </row>
    <row r="276" spans="1:25" s="3" customFormat="1" ht="41.25" customHeight="1">
      <c r="A276" s="80"/>
      <c r="B276" s="42" t="s">
        <v>202</v>
      </c>
      <c r="C276" s="81"/>
      <c r="D276" s="43">
        <f t="shared" si="446"/>
        <v>50</v>
      </c>
      <c r="E276" s="44">
        <f t="shared" si="447"/>
        <v>0</v>
      </c>
      <c r="F276" s="47"/>
      <c r="G276" s="48"/>
      <c r="H276" s="48"/>
      <c r="I276" s="48"/>
      <c r="J276" s="44">
        <f t="shared" si="448"/>
        <v>0</v>
      </c>
      <c r="K276" s="48"/>
      <c r="L276" s="48"/>
      <c r="M276" s="48"/>
      <c r="N276" s="48"/>
      <c r="O276" s="44">
        <f t="shared" si="449"/>
        <v>0</v>
      </c>
      <c r="P276" s="48"/>
      <c r="Q276" s="48"/>
      <c r="R276" s="48"/>
      <c r="S276" s="48">
        <v>50</v>
      </c>
      <c r="T276" s="48"/>
      <c r="U276" s="48"/>
      <c r="V276" s="44">
        <f t="shared" si="450"/>
        <v>0</v>
      </c>
      <c r="W276" s="48"/>
      <c r="X276" s="48"/>
      <c r="Y276" s="80"/>
    </row>
    <row r="277" spans="1:25" s="3" customFormat="1" ht="57" customHeight="1">
      <c r="A277" s="80"/>
      <c r="B277" s="42" t="s">
        <v>203</v>
      </c>
      <c r="C277" s="81"/>
      <c r="D277" s="43">
        <f t="shared" si="446"/>
        <v>300</v>
      </c>
      <c r="E277" s="44">
        <f t="shared" si="447"/>
        <v>0</v>
      </c>
      <c r="F277" s="47"/>
      <c r="G277" s="48"/>
      <c r="H277" s="48"/>
      <c r="I277" s="48"/>
      <c r="J277" s="44">
        <f t="shared" si="448"/>
        <v>0</v>
      </c>
      <c r="K277" s="48"/>
      <c r="L277" s="48"/>
      <c r="M277" s="48"/>
      <c r="N277" s="48"/>
      <c r="O277" s="44">
        <f t="shared" si="449"/>
        <v>0</v>
      </c>
      <c r="P277" s="48"/>
      <c r="Q277" s="48"/>
      <c r="R277" s="48"/>
      <c r="S277" s="48">
        <v>300</v>
      </c>
      <c r="T277" s="48"/>
      <c r="U277" s="48"/>
      <c r="V277" s="44">
        <f t="shared" si="450"/>
        <v>0</v>
      </c>
      <c r="W277" s="48"/>
      <c r="X277" s="48"/>
      <c r="Y277" s="80"/>
    </row>
    <row r="278" spans="1:25" s="3" customFormat="1" ht="27.75" customHeight="1">
      <c r="A278" s="80"/>
      <c r="B278" s="42" t="s">
        <v>204</v>
      </c>
      <c r="C278" s="81"/>
      <c r="D278" s="43">
        <f t="shared" si="446"/>
        <v>400</v>
      </c>
      <c r="E278" s="44">
        <f t="shared" si="447"/>
        <v>0</v>
      </c>
      <c r="F278" s="47"/>
      <c r="G278" s="48"/>
      <c r="H278" s="48"/>
      <c r="I278" s="48"/>
      <c r="J278" s="44">
        <f t="shared" si="448"/>
        <v>0</v>
      </c>
      <c r="K278" s="48"/>
      <c r="L278" s="48"/>
      <c r="M278" s="48"/>
      <c r="N278" s="48"/>
      <c r="O278" s="44">
        <f t="shared" si="449"/>
        <v>0</v>
      </c>
      <c r="P278" s="48"/>
      <c r="Q278" s="48"/>
      <c r="R278" s="48"/>
      <c r="S278" s="48">
        <v>400</v>
      </c>
      <c r="T278" s="48"/>
      <c r="U278" s="48"/>
      <c r="V278" s="44">
        <f t="shared" si="450"/>
        <v>0</v>
      </c>
      <c r="W278" s="48"/>
      <c r="X278" s="48"/>
      <c r="Y278" s="80"/>
    </row>
    <row r="279" spans="1:25" s="3" customFormat="1" ht="42" customHeight="1">
      <c r="A279" s="80"/>
      <c r="B279" s="42" t="s">
        <v>205</v>
      </c>
      <c r="C279" s="81"/>
      <c r="D279" s="43">
        <f t="shared" si="446"/>
        <v>100</v>
      </c>
      <c r="E279" s="44">
        <f t="shared" si="447"/>
        <v>0</v>
      </c>
      <c r="F279" s="47"/>
      <c r="G279" s="48"/>
      <c r="H279" s="48"/>
      <c r="I279" s="48"/>
      <c r="J279" s="44">
        <f t="shared" si="448"/>
        <v>0</v>
      </c>
      <c r="K279" s="48"/>
      <c r="L279" s="48"/>
      <c r="M279" s="48"/>
      <c r="N279" s="48"/>
      <c r="O279" s="44">
        <f t="shared" si="449"/>
        <v>0</v>
      </c>
      <c r="P279" s="48"/>
      <c r="Q279" s="48"/>
      <c r="R279" s="48"/>
      <c r="S279" s="48">
        <v>100</v>
      </c>
      <c r="T279" s="48"/>
      <c r="U279" s="48"/>
      <c r="V279" s="44">
        <f t="shared" si="450"/>
        <v>0</v>
      </c>
      <c r="W279" s="48"/>
      <c r="X279" s="48"/>
      <c r="Y279" s="80"/>
    </row>
    <row r="280" spans="1:25" s="3" customFormat="1" ht="25.5" customHeight="1">
      <c r="A280" s="80"/>
      <c r="B280" s="42" t="s">
        <v>206</v>
      </c>
      <c r="C280" s="81"/>
      <c r="D280" s="43">
        <f t="shared" si="446"/>
        <v>720</v>
      </c>
      <c r="E280" s="44">
        <f t="shared" si="447"/>
        <v>0</v>
      </c>
      <c r="F280" s="47"/>
      <c r="G280" s="48"/>
      <c r="H280" s="48"/>
      <c r="I280" s="48"/>
      <c r="J280" s="44">
        <f t="shared" si="448"/>
        <v>0</v>
      </c>
      <c r="K280" s="48"/>
      <c r="L280" s="48"/>
      <c r="M280" s="48"/>
      <c r="N280" s="48"/>
      <c r="O280" s="44">
        <f t="shared" si="449"/>
        <v>0</v>
      </c>
      <c r="P280" s="48"/>
      <c r="Q280" s="48"/>
      <c r="R280" s="48"/>
      <c r="S280" s="48">
        <v>720</v>
      </c>
      <c r="T280" s="48"/>
      <c r="U280" s="48"/>
      <c r="V280" s="44">
        <f t="shared" si="450"/>
        <v>0</v>
      </c>
      <c r="W280" s="48"/>
      <c r="X280" s="48"/>
      <c r="Y280" s="80"/>
    </row>
    <row r="281" spans="1:25" s="3" customFormat="1" ht="57.75" customHeight="1">
      <c r="A281" s="80"/>
      <c r="B281" s="42" t="s">
        <v>207</v>
      </c>
      <c r="C281" s="81"/>
      <c r="D281" s="43">
        <f t="shared" si="446"/>
        <v>100</v>
      </c>
      <c r="E281" s="44">
        <f t="shared" si="447"/>
        <v>0</v>
      </c>
      <c r="F281" s="47"/>
      <c r="G281" s="48"/>
      <c r="H281" s="48"/>
      <c r="I281" s="48"/>
      <c r="J281" s="44">
        <f t="shared" si="448"/>
        <v>0</v>
      </c>
      <c r="K281" s="48"/>
      <c r="L281" s="48"/>
      <c r="M281" s="48"/>
      <c r="N281" s="48"/>
      <c r="O281" s="44">
        <f t="shared" si="449"/>
        <v>0</v>
      </c>
      <c r="P281" s="48"/>
      <c r="Q281" s="48"/>
      <c r="R281" s="48"/>
      <c r="S281" s="48">
        <v>100</v>
      </c>
      <c r="T281" s="48"/>
      <c r="U281" s="48"/>
      <c r="V281" s="44">
        <f t="shared" si="450"/>
        <v>0</v>
      </c>
      <c r="W281" s="48"/>
      <c r="X281" s="48"/>
      <c r="Y281" s="80"/>
    </row>
    <row r="282" spans="1:25" s="3" customFormat="1" ht="42.75" customHeight="1">
      <c r="A282" s="80"/>
      <c r="B282" s="42" t="s">
        <v>208</v>
      </c>
      <c r="C282" s="81"/>
      <c r="D282" s="43">
        <f t="shared" si="446"/>
        <v>300</v>
      </c>
      <c r="E282" s="44">
        <f t="shared" si="447"/>
        <v>0</v>
      </c>
      <c r="F282" s="47"/>
      <c r="G282" s="48"/>
      <c r="H282" s="48"/>
      <c r="I282" s="48"/>
      <c r="J282" s="44">
        <f t="shared" si="448"/>
        <v>0</v>
      </c>
      <c r="K282" s="48"/>
      <c r="L282" s="48"/>
      <c r="M282" s="48"/>
      <c r="N282" s="48"/>
      <c r="O282" s="44">
        <f t="shared" si="449"/>
        <v>0</v>
      </c>
      <c r="P282" s="48"/>
      <c r="Q282" s="48"/>
      <c r="R282" s="48"/>
      <c r="S282" s="48">
        <v>300</v>
      </c>
      <c r="T282" s="48"/>
      <c r="U282" s="48"/>
      <c r="V282" s="44">
        <f t="shared" si="450"/>
        <v>0</v>
      </c>
      <c r="W282" s="48"/>
      <c r="X282" s="48"/>
      <c r="Y282" s="80"/>
    </row>
    <row r="283" spans="1:25" s="32" customFormat="1" ht="20.25" customHeight="1">
      <c r="A283" s="31" t="s">
        <v>105</v>
      </c>
      <c r="B283" s="31" t="s">
        <v>256</v>
      </c>
      <c r="C283" s="28"/>
      <c r="D283" s="29">
        <f>D284</f>
        <v>5</v>
      </c>
      <c r="E283" s="29">
        <f t="shared" ref="E283:X285" si="451">E284</f>
        <v>5</v>
      </c>
      <c r="F283" s="30">
        <f t="shared" si="451"/>
        <v>5</v>
      </c>
      <c r="G283" s="29">
        <f t="shared" si="451"/>
        <v>0</v>
      </c>
      <c r="H283" s="29">
        <f t="shared" si="451"/>
        <v>0</v>
      </c>
      <c r="I283" s="29">
        <f t="shared" si="451"/>
        <v>0</v>
      </c>
      <c r="J283" s="29">
        <f t="shared" si="451"/>
        <v>0</v>
      </c>
      <c r="K283" s="29">
        <f t="shared" si="451"/>
        <v>0</v>
      </c>
      <c r="L283" s="29">
        <f t="shared" si="451"/>
        <v>0</v>
      </c>
      <c r="M283" s="29">
        <f t="shared" si="451"/>
        <v>0</v>
      </c>
      <c r="N283" s="29">
        <f t="shared" si="451"/>
        <v>0</v>
      </c>
      <c r="O283" s="29">
        <f t="shared" si="451"/>
        <v>0</v>
      </c>
      <c r="P283" s="29">
        <f t="shared" si="451"/>
        <v>0</v>
      </c>
      <c r="Q283" s="29">
        <f t="shared" si="451"/>
        <v>0</v>
      </c>
      <c r="R283" s="29">
        <f t="shared" si="451"/>
        <v>0</v>
      </c>
      <c r="S283" s="29">
        <f t="shared" si="451"/>
        <v>0</v>
      </c>
      <c r="T283" s="29">
        <f t="shared" si="451"/>
        <v>0</v>
      </c>
      <c r="U283" s="29">
        <f t="shared" si="451"/>
        <v>0</v>
      </c>
      <c r="V283" s="29">
        <f t="shared" si="451"/>
        <v>0</v>
      </c>
      <c r="W283" s="29">
        <f t="shared" si="451"/>
        <v>0</v>
      </c>
      <c r="X283" s="29">
        <f t="shared" si="451"/>
        <v>0</v>
      </c>
      <c r="Y283" s="31"/>
    </row>
    <row r="284" spans="1:25" s="75" customFormat="1" ht="20.25" customHeight="1">
      <c r="A284" s="71"/>
      <c r="B284" s="71" t="s">
        <v>223</v>
      </c>
      <c r="C284" s="72" t="s">
        <v>176</v>
      </c>
      <c r="D284" s="73">
        <f>D285</f>
        <v>5</v>
      </c>
      <c r="E284" s="73">
        <f t="shared" si="451"/>
        <v>5</v>
      </c>
      <c r="F284" s="74">
        <f t="shared" si="451"/>
        <v>5</v>
      </c>
      <c r="G284" s="73">
        <f t="shared" si="451"/>
        <v>0</v>
      </c>
      <c r="H284" s="73">
        <f t="shared" si="451"/>
        <v>0</v>
      </c>
      <c r="I284" s="73">
        <f t="shared" si="451"/>
        <v>0</v>
      </c>
      <c r="J284" s="73">
        <f t="shared" si="451"/>
        <v>0</v>
      </c>
      <c r="K284" s="73">
        <f t="shared" si="451"/>
        <v>0</v>
      </c>
      <c r="L284" s="73">
        <f t="shared" si="451"/>
        <v>0</v>
      </c>
      <c r="M284" s="73">
        <f t="shared" si="451"/>
        <v>0</v>
      </c>
      <c r="N284" s="73">
        <f t="shared" si="451"/>
        <v>0</v>
      </c>
      <c r="O284" s="73">
        <f t="shared" si="451"/>
        <v>0</v>
      </c>
      <c r="P284" s="73">
        <f t="shared" si="451"/>
        <v>0</v>
      </c>
      <c r="Q284" s="73">
        <f t="shared" si="451"/>
        <v>0</v>
      </c>
      <c r="R284" s="73">
        <f t="shared" si="451"/>
        <v>0</v>
      </c>
      <c r="S284" s="73">
        <f t="shared" si="451"/>
        <v>0</v>
      </c>
      <c r="T284" s="73">
        <f t="shared" si="451"/>
        <v>0</v>
      </c>
      <c r="U284" s="73">
        <f t="shared" si="451"/>
        <v>0</v>
      </c>
      <c r="V284" s="73">
        <f t="shared" si="451"/>
        <v>0</v>
      </c>
      <c r="W284" s="73">
        <f t="shared" si="451"/>
        <v>0</v>
      </c>
      <c r="X284" s="73">
        <f t="shared" si="451"/>
        <v>0</v>
      </c>
      <c r="Y284" s="71"/>
    </row>
    <row r="285" spans="1:25" s="87" customFormat="1" ht="69.75" customHeight="1">
      <c r="A285" s="76"/>
      <c r="B285" s="77" t="s">
        <v>191</v>
      </c>
      <c r="C285" s="78" t="s">
        <v>192</v>
      </c>
      <c r="D285" s="59">
        <f>D286</f>
        <v>5</v>
      </c>
      <c r="E285" s="59">
        <f t="shared" si="451"/>
        <v>5</v>
      </c>
      <c r="F285" s="60">
        <f t="shared" si="451"/>
        <v>5</v>
      </c>
      <c r="G285" s="59">
        <f t="shared" si="451"/>
        <v>0</v>
      </c>
      <c r="H285" s="59">
        <f t="shared" si="451"/>
        <v>0</v>
      </c>
      <c r="I285" s="59">
        <f t="shared" si="451"/>
        <v>0</v>
      </c>
      <c r="J285" s="59">
        <f t="shared" si="451"/>
        <v>0</v>
      </c>
      <c r="K285" s="59">
        <f t="shared" si="451"/>
        <v>0</v>
      </c>
      <c r="L285" s="59">
        <f t="shared" si="451"/>
        <v>0</v>
      </c>
      <c r="M285" s="59">
        <f t="shared" si="451"/>
        <v>0</v>
      </c>
      <c r="N285" s="59">
        <f t="shared" si="451"/>
        <v>0</v>
      </c>
      <c r="O285" s="59">
        <f t="shared" si="451"/>
        <v>0</v>
      </c>
      <c r="P285" s="59">
        <f t="shared" si="451"/>
        <v>0</v>
      </c>
      <c r="Q285" s="59">
        <f t="shared" si="451"/>
        <v>0</v>
      </c>
      <c r="R285" s="59">
        <f t="shared" si="451"/>
        <v>0</v>
      </c>
      <c r="S285" s="59">
        <f t="shared" si="451"/>
        <v>0</v>
      </c>
      <c r="T285" s="59">
        <f t="shared" si="451"/>
        <v>0</v>
      </c>
      <c r="U285" s="59">
        <f t="shared" si="451"/>
        <v>0</v>
      </c>
      <c r="V285" s="59">
        <f t="shared" si="451"/>
        <v>0</v>
      </c>
      <c r="W285" s="59">
        <f t="shared" si="451"/>
        <v>0</v>
      </c>
      <c r="X285" s="59">
        <f t="shared" si="451"/>
        <v>0</v>
      </c>
      <c r="Y285" s="76"/>
    </row>
    <row r="286" spans="1:25" s="3" customFormat="1" ht="47.25" customHeight="1">
      <c r="A286" s="80"/>
      <c r="B286" s="42" t="s">
        <v>237</v>
      </c>
      <c r="C286" s="81"/>
      <c r="D286" s="43">
        <f>E286+J286+N286+O286+SUM(R286:V286)</f>
        <v>5</v>
      </c>
      <c r="E286" s="44">
        <f>SUM(F286:I286)</f>
        <v>5</v>
      </c>
      <c r="F286" s="47">
        <v>5</v>
      </c>
      <c r="G286" s="48"/>
      <c r="H286" s="48"/>
      <c r="I286" s="48"/>
      <c r="J286" s="44">
        <f t="shared" ref="J286" si="452">SUM(K286:M286)</f>
        <v>0</v>
      </c>
      <c r="K286" s="48"/>
      <c r="L286" s="48"/>
      <c r="M286" s="48"/>
      <c r="N286" s="48"/>
      <c r="O286" s="44">
        <f t="shared" ref="O286" si="453">SUM(P286:Q286)</f>
        <v>0</v>
      </c>
      <c r="P286" s="48"/>
      <c r="Q286" s="48"/>
      <c r="R286" s="48"/>
      <c r="S286" s="48"/>
      <c r="T286" s="48"/>
      <c r="U286" s="48"/>
      <c r="V286" s="44">
        <f t="shared" ref="V286" si="454">SUM(W286:X286)</f>
        <v>0</v>
      </c>
      <c r="W286" s="48"/>
      <c r="X286" s="48"/>
      <c r="Y286" s="80"/>
    </row>
    <row r="287" spans="1:25" s="32" customFormat="1" ht="24" customHeight="1">
      <c r="A287" s="31" t="s">
        <v>300</v>
      </c>
      <c r="B287" s="31" t="s">
        <v>257</v>
      </c>
      <c r="C287" s="28"/>
      <c r="D287" s="29">
        <f>D288+D291</f>
        <v>3865</v>
      </c>
      <c r="E287" s="29">
        <f t="shared" ref="E287:X287" si="455">E288+E291</f>
        <v>10</v>
      </c>
      <c r="F287" s="30">
        <f t="shared" si="455"/>
        <v>10</v>
      </c>
      <c r="G287" s="29">
        <f t="shared" si="455"/>
        <v>0</v>
      </c>
      <c r="H287" s="29">
        <f t="shared" si="455"/>
        <v>0</v>
      </c>
      <c r="I287" s="29">
        <f t="shared" si="455"/>
        <v>0</v>
      </c>
      <c r="J287" s="29">
        <f t="shared" si="455"/>
        <v>0</v>
      </c>
      <c r="K287" s="29">
        <f t="shared" si="455"/>
        <v>0</v>
      </c>
      <c r="L287" s="29">
        <f t="shared" si="455"/>
        <v>0</v>
      </c>
      <c r="M287" s="29">
        <f t="shared" si="455"/>
        <v>0</v>
      </c>
      <c r="N287" s="29">
        <f t="shared" si="455"/>
        <v>0</v>
      </c>
      <c r="O287" s="29">
        <f t="shared" si="455"/>
        <v>0</v>
      </c>
      <c r="P287" s="29">
        <f t="shared" si="455"/>
        <v>0</v>
      </c>
      <c r="Q287" s="29">
        <f t="shared" si="455"/>
        <v>0</v>
      </c>
      <c r="R287" s="29">
        <f t="shared" si="455"/>
        <v>0</v>
      </c>
      <c r="S287" s="29">
        <f t="shared" si="455"/>
        <v>3855</v>
      </c>
      <c r="T287" s="29">
        <f t="shared" si="455"/>
        <v>0</v>
      </c>
      <c r="U287" s="29">
        <f t="shared" si="455"/>
        <v>0</v>
      </c>
      <c r="V287" s="29">
        <f t="shared" si="455"/>
        <v>0</v>
      </c>
      <c r="W287" s="29">
        <f t="shared" si="455"/>
        <v>0</v>
      </c>
      <c r="X287" s="29">
        <f t="shared" si="455"/>
        <v>0</v>
      </c>
      <c r="Y287" s="31"/>
    </row>
    <row r="288" spans="1:25" s="75" customFormat="1" ht="24" customHeight="1">
      <c r="A288" s="71">
        <v>1</v>
      </c>
      <c r="B288" s="71" t="s">
        <v>221</v>
      </c>
      <c r="C288" s="72" t="s">
        <v>159</v>
      </c>
      <c r="D288" s="73">
        <f>D289</f>
        <v>3475</v>
      </c>
      <c r="E288" s="73">
        <f t="shared" ref="E288:X289" si="456">E289</f>
        <v>0</v>
      </c>
      <c r="F288" s="74">
        <f t="shared" si="456"/>
        <v>0</v>
      </c>
      <c r="G288" s="73">
        <f t="shared" si="456"/>
        <v>0</v>
      </c>
      <c r="H288" s="73">
        <f t="shared" si="456"/>
        <v>0</v>
      </c>
      <c r="I288" s="73">
        <f t="shared" si="456"/>
        <v>0</v>
      </c>
      <c r="J288" s="73">
        <f t="shared" si="456"/>
        <v>0</v>
      </c>
      <c r="K288" s="73">
        <f t="shared" si="456"/>
        <v>0</v>
      </c>
      <c r="L288" s="73">
        <f t="shared" si="456"/>
        <v>0</v>
      </c>
      <c r="M288" s="73">
        <f t="shared" si="456"/>
        <v>0</v>
      </c>
      <c r="N288" s="73">
        <f t="shared" si="456"/>
        <v>0</v>
      </c>
      <c r="O288" s="73">
        <f t="shared" si="456"/>
        <v>0</v>
      </c>
      <c r="P288" s="73">
        <f t="shared" si="456"/>
        <v>0</v>
      </c>
      <c r="Q288" s="73">
        <f t="shared" si="456"/>
        <v>0</v>
      </c>
      <c r="R288" s="73">
        <f t="shared" si="456"/>
        <v>0</v>
      </c>
      <c r="S288" s="73">
        <f t="shared" si="456"/>
        <v>3475</v>
      </c>
      <c r="T288" s="73">
        <f t="shared" si="456"/>
        <v>0</v>
      </c>
      <c r="U288" s="73">
        <f t="shared" si="456"/>
        <v>0</v>
      </c>
      <c r="V288" s="73">
        <f t="shared" si="456"/>
        <v>0</v>
      </c>
      <c r="W288" s="73">
        <f t="shared" si="456"/>
        <v>0</v>
      </c>
      <c r="X288" s="73">
        <f t="shared" si="456"/>
        <v>0</v>
      </c>
      <c r="Y288" s="71"/>
    </row>
    <row r="289" spans="1:25" s="79" customFormat="1" ht="24" customHeight="1">
      <c r="A289" s="76" t="s">
        <v>8</v>
      </c>
      <c r="B289" s="77" t="s">
        <v>167</v>
      </c>
      <c r="C289" s="78" t="s">
        <v>168</v>
      </c>
      <c r="D289" s="59">
        <f>D290</f>
        <v>3475</v>
      </c>
      <c r="E289" s="59">
        <f t="shared" si="456"/>
        <v>0</v>
      </c>
      <c r="F289" s="60">
        <f t="shared" si="456"/>
        <v>0</v>
      </c>
      <c r="G289" s="59">
        <f t="shared" si="456"/>
        <v>0</v>
      </c>
      <c r="H289" s="59">
        <f t="shared" si="456"/>
        <v>0</v>
      </c>
      <c r="I289" s="59">
        <f t="shared" si="456"/>
        <v>0</v>
      </c>
      <c r="J289" s="59">
        <f t="shared" si="456"/>
        <v>0</v>
      </c>
      <c r="K289" s="59">
        <f t="shared" si="456"/>
        <v>0</v>
      </c>
      <c r="L289" s="59">
        <f t="shared" si="456"/>
        <v>0</v>
      </c>
      <c r="M289" s="59">
        <f t="shared" si="456"/>
        <v>0</v>
      </c>
      <c r="N289" s="59">
        <f t="shared" si="456"/>
        <v>0</v>
      </c>
      <c r="O289" s="59">
        <f t="shared" si="456"/>
        <v>0</v>
      </c>
      <c r="P289" s="59">
        <f t="shared" si="456"/>
        <v>0</v>
      </c>
      <c r="Q289" s="59">
        <f t="shared" si="456"/>
        <v>0</v>
      </c>
      <c r="R289" s="59">
        <f t="shared" si="456"/>
        <v>0</v>
      </c>
      <c r="S289" s="59">
        <f t="shared" si="456"/>
        <v>3475</v>
      </c>
      <c r="T289" s="59">
        <f t="shared" si="456"/>
        <v>0</v>
      </c>
      <c r="U289" s="59">
        <f t="shared" si="456"/>
        <v>0</v>
      </c>
      <c r="V289" s="59">
        <f t="shared" si="456"/>
        <v>0</v>
      </c>
      <c r="W289" s="59">
        <f t="shared" si="456"/>
        <v>0</v>
      </c>
      <c r="X289" s="59">
        <f t="shared" si="456"/>
        <v>0</v>
      </c>
      <c r="Y289" s="76"/>
    </row>
    <row r="290" spans="1:25" s="3" customFormat="1" ht="24" customHeight="1">
      <c r="A290" s="80"/>
      <c r="B290" s="42" t="s">
        <v>258</v>
      </c>
      <c r="C290" s="81"/>
      <c r="D290" s="43">
        <f>E290+J290+N290+O290+SUM(R290:V290)</f>
        <v>3475</v>
      </c>
      <c r="E290" s="44">
        <f>SUM(F290:I290)</f>
        <v>0</v>
      </c>
      <c r="F290" s="47"/>
      <c r="G290" s="48"/>
      <c r="H290" s="48"/>
      <c r="I290" s="48"/>
      <c r="J290" s="44">
        <f t="shared" ref="J290" si="457">SUM(K290:M290)</f>
        <v>0</v>
      </c>
      <c r="K290" s="48"/>
      <c r="L290" s="48"/>
      <c r="M290" s="48"/>
      <c r="N290" s="48"/>
      <c r="O290" s="44">
        <f t="shared" ref="O290" si="458">SUM(P290:Q290)</f>
        <v>0</v>
      </c>
      <c r="P290" s="48"/>
      <c r="Q290" s="48"/>
      <c r="R290" s="48"/>
      <c r="S290" s="48">
        <v>3475</v>
      </c>
      <c r="T290" s="48"/>
      <c r="U290" s="48"/>
      <c r="V290" s="44">
        <f t="shared" ref="V290" si="459">SUM(W290:X290)</f>
        <v>0</v>
      </c>
      <c r="W290" s="48"/>
      <c r="X290" s="48"/>
      <c r="Y290" s="80"/>
    </row>
    <row r="291" spans="1:25" s="75" customFormat="1" ht="24" customHeight="1">
      <c r="A291" s="71">
        <v>2</v>
      </c>
      <c r="B291" s="71" t="s">
        <v>223</v>
      </c>
      <c r="C291" s="72" t="s">
        <v>176</v>
      </c>
      <c r="D291" s="73">
        <f>D292+D295</f>
        <v>390</v>
      </c>
      <c r="E291" s="73">
        <f t="shared" ref="E291:X291" si="460">E292+E295</f>
        <v>10</v>
      </c>
      <c r="F291" s="74">
        <f t="shared" si="460"/>
        <v>10</v>
      </c>
      <c r="G291" s="73">
        <f t="shared" si="460"/>
        <v>0</v>
      </c>
      <c r="H291" s="73">
        <f t="shared" si="460"/>
        <v>0</v>
      </c>
      <c r="I291" s="73">
        <f t="shared" si="460"/>
        <v>0</v>
      </c>
      <c r="J291" s="73">
        <f t="shared" si="460"/>
        <v>0</v>
      </c>
      <c r="K291" s="73">
        <f t="shared" si="460"/>
        <v>0</v>
      </c>
      <c r="L291" s="73">
        <f t="shared" si="460"/>
        <v>0</v>
      </c>
      <c r="M291" s="73">
        <f t="shared" si="460"/>
        <v>0</v>
      </c>
      <c r="N291" s="73">
        <f t="shared" si="460"/>
        <v>0</v>
      </c>
      <c r="O291" s="73">
        <f t="shared" si="460"/>
        <v>0</v>
      </c>
      <c r="P291" s="73">
        <f t="shared" si="460"/>
        <v>0</v>
      </c>
      <c r="Q291" s="73">
        <f t="shared" si="460"/>
        <v>0</v>
      </c>
      <c r="R291" s="73">
        <f t="shared" si="460"/>
        <v>0</v>
      </c>
      <c r="S291" s="73">
        <f t="shared" si="460"/>
        <v>380</v>
      </c>
      <c r="T291" s="73">
        <f t="shared" si="460"/>
        <v>0</v>
      </c>
      <c r="U291" s="73">
        <f t="shared" si="460"/>
        <v>0</v>
      </c>
      <c r="V291" s="73">
        <f t="shared" si="460"/>
        <v>0</v>
      </c>
      <c r="W291" s="73">
        <f t="shared" si="460"/>
        <v>0</v>
      </c>
      <c r="X291" s="73">
        <f t="shared" si="460"/>
        <v>0</v>
      </c>
      <c r="Y291" s="71"/>
    </row>
    <row r="292" spans="1:25" s="79" customFormat="1" ht="133.5" customHeight="1">
      <c r="A292" s="76" t="s">
        <v>12</v>
      </c>
      <c r="B292" s="77" t="s">
        <v>187</v>
      </c>
      <c r="C292" s="78" t="s">
        <v>188</v>
      </c>
      <c r="D292" s="59">
        <f>SUM(D293:D294)</f>
        <v>380</v>
      </c>
      <c r="E292" s="59">
        <f t="shared" ref="E292:X292" si="461">SUM(E293:E294)</f>
        <v>0</v>
      </c>
      <c r="F292" s="60">
        <f t="shared" si="461"/>
        <v>0</v>
      </c>
      <c r="G292" s="59">
        <f t="shared" si="461"/>
        <v>0</v>
      </c>
      <c r="H292" s="59">
        <f t="shared" si="461"/>
        <v>0</v>
      </c>
      <c r="I292" s="59">
        <f t="shared" si="461"/>
        <v>0</v>
      </c>
      <c r="J292" s="59">
        <f t="shared" si="461"/>
        <v>0</v>
      </c>
      <c r="K292" s="59">
        <f t="shared" si="461"/>
        <v>0</v>
      </c>
      <c r="L292" s="59">
        <f t="shared" si="461"/>
        <v>0</v>
      </c>
      <c r="M292" s="59">
        <f t="shared" si="461"/>
        <v>0</v>
      </c>
      <c r="N292" s="59">
        <f t="shared" si="461"/>
        <v>0</v>
      </c>
      <c r="O292" s="59">
        <f t="shared" si="461"/>
        <v>0</v>
      </c>
      <c r="P292" s="59">
        <f t="shared" si="461"/>
        <v>0</v>
      </c>
      <c r="Q292" s="59">
        <f t="shared" si="461"/>
        <v>0</v>
      </c>
      <c r="R292" s="59">
        <f t="shared" si="461"/>
        <v>0</v>
      </c>
      <c r="S292" s="59">
        <f t="shared" si="461"/>
        <v>380</v>
      </c>
      <c r="T292" s="59">
        <f t="shared" si="461"/>
        <v>0</v>
      </c>
      <c r="U292" s="59">
        <f t="shared" si="461"/>
        <v>0</v>
      </c>
      <c r="V292" s="59">
        <f t="shared" si="461"/>
        <v>0</v>
      </c>
      <c r="W292" s="59">
        <f t="shared" si="461"/>
        <v>0</v>
      </c>
      <c r="X292" s="59">
        <f t="shared" si="461"/>
        <v>0</v>
      </c>
      <c r="Y292" s="76"/>
    </row>
    <row r="293" spans="1:25" s="3" customFormat="1" ht="126">
      <c r="A293" s="80"/>
      <c r="B293" s="42" t="s">
        <v>259</v>
      </c>
      <c r="C293" s="81"/>
      <c r="D293" s="43">
        <f t="shared" ref="D293:D294" si="462">E293+J293+N293+O293+SUM(R293:V293)</f>
        <v>260</v>
      </c>
      <c r="E293" s="44">
        <f t="shared" ref="E293:E294" si="463">SUM(F293:I293)</f>
        <v>0</v>
      </c>
      <c r="F293" s="47"/>
      <c r="G293" s="48"/>
      <c r="H293" s="48"/>
      <c r="I293" s="48"/>
      <c r="J293" s="44">
        <f t="shared" ref="J293:J294" si="464">SUM(K293:M293)</f>
        <v>0</v>
      </c>
      <c r="K293" s="48"/>
      <c r="L293" s="48"/>
      <c r="M293" s="48"/>
      <c r="N293" s="48"/>
      <c r="O293" s="44">
        <f t="shared" ref="O293:O294" si="465">SUM(P293:Q293)</f>
        <v>0</v>
      </c>
      <c r="P293" s="48"/>
      <c r="Q293" s="48"/>
      <c r="R293" s="48"/>
      <c r="S293" s="48">
        <v>260</v>
      </c>
      <c r="T293" s="48"/>
      <c r="U293" s="48"/>
      <c r="V293" s="44">
        <f t="shared" ref="V293:V294" si="466">SUM(W293:X293)</f>
        <v>0</v>
      </c>
      <c r="W293" s="48"/>
      <c r="X293" s="48"/>
      <c r="Y293" s="49" t="s">
        <v>260</v>
      </c>
    </row>
    <row r="294" spans="1:25" s="3" customFormat="1" ht="94.5">
      <c r="A294" s="80"/>
      <c r="B294" s="49" t="s">
        <v>261</v>
      </c>
      <c r="C294" s="81"/>
      <c r="D294" s="43">
        <f t="shared" si="462"/>
        <v>120</v>
      </c>
      <c r="E294" s="44">
        <f t="shared" si="463"/>
        <v>0</v>
      </c>
      <c r="F294" s="47"/>
      <c r="G294" s="48"/>
      <c r="H294" s="48"/>
      <c r="I294" s="48"/>
      <c r="J294" s="44">
        <f t="shared" si="464"/>
        <v>0</v>
      </c>
      <c r="K294" s="48"/>
      <c r="L294" s="48"/>
      <c r="M294" s="48"/>
      <c r="N294" s="48"/>
      <c r="O294" s="44">
        <f t="shared" si="465"/>
        <v>0</v>
      </c>
      <c r="P294" s="48"/>
      <c r="Q294" s="48"/>
      <c r="R294" s="48"/>
      <c r="S294" s="48">
        <v>120</v>
      </c>
      <c r="T294" s="48"/>
      <c r="U294" s="48"/>
      <c r="V294" s="44">
        <f t="shared" si="466"/>
        <v>0</v>
      </c>
      <c r="W294" s="48"/>
      <c r="X294" s="48"/>
      <c r="Y294" s="49" t="s">
        <v>262</v>
      </c>
    </row>
    <row r="295" spans="1:25" s="79" customFormat="1" ht="75">
      <c r="A295" s="76" t="s">
        <v>13</v>
      </c>
      <c r="B295" s="77" t="s">
        <v>191</v>
      </c>
      <c r="C295" s="78" t="s">
        <v>192</v>
      </c>
      <c r="D295" s="59">
        <f>D296</f>
        <v>10</v>
      </c>
      <c r="E295" s="59">
        <f t="shared" ref="E295:X295" si="467">E296</f>
        <v>10</v>
      </c>
      <c r="F295" s="60">
        <f t="shared" si="467"/>
        <v>10</v>
      </c>
      <c r="G295" s="59">
        <f t="shared" si="467"/>
        <v>0</v>
      </c>
      <c r="H295" s="59">
        <f t="shared" si="467"/>
        <v>0</v>
      </c>
      <c r="I295" s="59">
        <f t="shared" si="467"/>
        <v>0</v>
      </c>
      <c r="J295" s="59">
        <f t="shared" si="467"/>
        <v>0</v>
      </c>
      <c r="K295" s="59">
        <f t="shared" si="467"/>
        <v>0</v>
      </c>
      <c r="L295" s="59">
        <f t="shared" si="467"/>
        <v>0</v>
      </c>
      <c r="M295" s="59">
        <f t="shared" si="467"/>
        <v>0</v>
      </c>
      <c r="N295" s="59">
        <f t="shared" si="467"/>
        <v>0</v>
      </c>
      <c r="O295" s="59">
        <f t="shared" si="467"/>
        <v>0</v>
      </c>
      <c r="P295" s="59">
        <f t="shared" si="467"/>
        <v>0</v>
      </c>
      <c r="Q295" s="59">
        <f t="shared" si="467"/>
        <v>0</v>
      </c>
      <c r="R295" s="59">
        <f t="shared" si="467"/>
        <v>0</v>
      </c>
      <c r="S295" s="59">
        <f t="shared" si="467"/>
        <v>0</v>
      </c>
      <c r="T295" s="59">
        <f t="shared" si="467"/>
        <v>0</v>
      </c>
      <c r="U295" s="59">
        <f t="shared" si="467"/>
        <v>0</v>
      </c>
      <c r="V295" s="59">
        <f t="shared" si="467"/>
        <v>0</v>
      </c>
      <c r="W295" s="59">
        <f t="shared" si="467"/>
        <v>0</v>
      </c>
      <c r="X295" s="59">
        <f t="shared" si="467"/>
        <v>0</v>
      </c>
      <c r="Y295" s="76"/>
    </row>
    <row r="296" spans="1:25" s="3" customFormat="1" ht="42" customHeight="1">
      <c r="A296" s="80"/>
      <c r="B296" s="42" t="s">
        <v>263</v>
      </c>
      <c r="C296" s="81"/>
      <c r="D296" s="43">
        <f>E296+J296+N296+O296+SUM(R296:V296)</f>
        <v>10</v>
      </c>
      <c r="E296" s="44">
        <f>SUM(F296:I296)</f>
        <v>10</v>
      </c>
      <c r="F296" s="47">
        <v>10</v>
      </c>
      <c r="G296" s="48"/>
      <c r="H296" s="48"/>
      <c r="I296" s="48"/>
      <c r="J296" s="44">
        <f t="shared" ref="J296" si="468">SUM(K296:M296)</f>
        <v>0</v>
      </c>
      <c r="K296" s="48"/>
      <c r="L296" s="48"/>
      <c r="M296" s="48"/>
      <c r="N296" s="48"/>
      <c r="O296" s="44">
        <f t="shared" ref="O296" si="469">SUM(P296:Q296)</f>
        <v>0</v>
      </c>
      <c r="P296" s="48"/>
      <c r="Q296" s="48"/>
      <c r="R296" s="48"/>
      <c r="S296" s="48"/>
      <c r="T296" s="48"/>
      <c r="U296" s="48"/>
      <c r="V296" s="44">
        <f t="shared" ref="V296" si="470">SUM(W296:X296)</f>
        <v>0</v>
      </c>
      <c r="W296" s="48"/>
      <c r="X296" s="48"/>
      <c r="Y296" s="80"/>
    </row>
    <row r="297" spans="1:25" s="32" customFormat="1" ht="20.25" customHeight="1">
      <c r="A297" s="31" t="s">
        <v>301</v>
      </c>
      <c r="B297" s="31" t="s">
        <v>264</v>
      </c>
      <c r="C297" s="28"/>
      <c r="D297" s="29">
        <f>D298</f>
        <v>1360</v>
      </c>
      <c r="E297" s="29">
        <f t="shared" ref="E297:X297" si="471">E298</f>
        <v>0</v>
      </c>
      <c r="F297" s="30">
        <f t="shared" si="471"/>
        <v>0</v>
      </c>
      <c r="G297" s="29">
        <f t="shared" si="471"/>
        <v>0</v>
      </c>
      <c r="H297" s="29">
        <f t="shared" si="471"/>
        <v>0</v>
      </c>
      <c r="I297" s="29">
        <f t="shared" si="471"/>
        <v>0</v>
      </c>
      <c r="J297" s="29">
        <f t="shared" si="471"/>
        <v>10</v>
      </c>
      <c r="K297" s="29">
        <f t="shared" si="471"/>
        <v>0</v>
      </c>
      <c r="L297" s="29">
        <f t="shared" si="471"/>
        <v>0</v>
      </c>
      <c r="M297" s="29">
        <f t="shared" si="471"/>
        <v>10</v>
      </c>
      <c r="N297" s="29">
        <f t="shared" si="471"/>
        <v>0</v>
      </c>
      <c r="O297" s="29">
        <f t="shared" si="471"/>
        <v>0</v>
      </c>
      <c r="P297" s="29">
        <f t="shared" si="471"/>
        <v>0</v>
      </c>
      <c r="Q297" s="29">
        <f t="shared" si="471"/>
        <v>0</v>
      </c>
      <c r="R297" s="29">
        <f t="shared" si="471"/>
        <v>0</v>
      </c>
      <c r="S297" s="29">
        <f t="shared" si="471"/>
        <v>102</v>
      </c>
      <c r="T297" s="29">
        <f t="shared" si="471"/>
        <v>0</v>
      </c>
      <c r="U297" s="29">
        <f t="shared" si="471"/>
        <v>1248</v>
      </c>
      <c r="V297" s="29">
        <f t="shared" si="471"/>
        <v>0</v>
      </c>
      <c r="W297" s="29">
        <f t="shared" si="471"/>
        <v>0</v>
      </c>
      <c r="X297" s="29">
        <f t="shared" si="471"/>
        <v>0</v>
      </c>
      <c r="Y297" s="31"/>
    </row>
    <row r="298" spans="1:25" s="75" customFormat="1" ht="20.25" customHeight="1">
      <c r="A298" s="71"/>
      <c r="B298" s="71" t="s">
        <v>240</v>
      </c>
      <c r="C298" s="72" t="s">
        <v>194</v>
      </c>
      <c r="D298" s="73">
        <f>D299+D302</f>
        <v>1360</v>
      </c>
      <c r="E298" s="73">
        <f t="shared" ref="E298:X298" si="472">E299+E302</f>
        <v>0</v>
      </c>
      <c r="F298" s="74">
        <f t="shared" si="472"/>
        <v>0</v>
      </c>
      <c r="G298" s="73">
        <f t="shared" si="472"/>
        <v>0</v>
      </c>
      <c r="H298" s="73">
        <f t="shared" si="472"/>
        <v>0</v>
      </c>
      <c r="I298" s="73">
        <f t="shared" si="472"/>
        <v>0</v>
      </c>
      <c r="J298" s="73">
        <f t="shared" si="472"/>
        <v>10</v>
      </c>
      <c r="K298" s="73">
        <f t="shared" si="472"/>
        <v>0</v>
      </c>
      <c r="L298" s="73">
        <f t="shared" si="472"/>
        <v>0</v>
      </c>
      <c r="M298" s="73">
        <f t="shared" si="472"/>
        <v>10</v>
      </c>
      <c r="N298" s="73">
        <f t="shared" si="472"/>
        <v>0</v>
      </c>
      <c r="O298" s="73">
        <f t="shared" si="472"/>
        <v>0</v>
      </c>
      <c r="P298" s="73">
        <f t="shared" si="472"/>
        <v>0</v>
      </c>
      <c r="Q298" s="73">
        <f t="shared" si="472"/>
        <v>0</v>
      </c>
      <c r="R298" s="73">
        <f t="shared" si="472"/>
        <v>0</v>
      </c>
      <c r="S298" s="73">
        <f t="shared" si="472"/>
        <v>102</v>
      </c>
      <c r="T298" s="73">
        <f t="shared" si="472"/>
        <v>0</v>
      </c>
      <c r="U298" s="73">
        <f t="shared" si="472"/>
        <v>1248</v>
      </c>
      <c r="V298" s="73">
        <f t="shared" si="472"/>
        <v>0</v>
      </c>
      <c r="W298" s="73">
        <f t="shared" si="472"/>
        <v>0</v>
      </c>
      <c r="X298" s="73">
        <f t="shared" si="472"/>
        <v>0</v>
      </c>
      <c r="Y298" s="71"/>
    </row>
    <row r="299" spans="1:25" s="79" customFormat="1" ht="42" customHeight="1">
      <c r="A299" s="76">
        <v>1</v>
      </c>
      <c r="B299" s="77" t="s">
        <v>209</v>
      </c>
      <c r="C299" s="78" t="s">
        <v>210</v>
      </c>
      <c r="D299" s="59">
        <f>D300</f>
        <v>1248</v>
      </c>
      <c r="E299" s="59">
        <f t="shared" ref="E299:X300" si="473">E300</f>
        <v>0</v>
      </c>
      <c r="F299" s="60">
        <f t="shared" si="473"/>
        <v>0</v>
      </c>
      <c r="G299" s="59">
        <f t="shared" si="473"/>
        <v>0</v>
      </c>
      <c r="H299" s="59">
        <f t="shared" si="473"/>
        <v>0</v>
      </c>
      <c r="I299" s="59">
        <f t="shared" si="473"/>
        <v>0</v>
      </c>
      <c r="J299" s="59">
        <f t="shared" si="473"/>
        <v>0</v>
      </c>
      <c r="K299" s="59">
        <f t="shared" si="473"/>
        <v>0</v>
      </c>
      <c r="L299" s="59">
        <f t="shared" si="473"/>
        <v>0</v>
      </c>
      <c r="M299" s="59">
        <f t="shared" si="473"/>
        <v>0</v>
      </c>
      <c r="N299" s="59">
        <f t="shared" si="473"/>
        <v>0</v>
      </c>
      <c r="O299" s="59">
        <f t="shared" si="473"/>
        <v>0</v>
      </c>
      <c r="P299" s="59">
        <f t="shared" si="473"/>
        <v>0</v>
      </c>
      <c r="Q299" s="59">
        <f t="shared" si="473"/>
        <v>0</v>
      </c>
      <c r="R299" s="59">
        <f t="shared" si="473"/>
        <v>0</v>
      </c>
      <c r="S299" s="59">
        <f t="shared" si="473"/>
        <v>0</v>
      </c>
      <c r="T299" s="59">
        <f t="shared" si="473"/>
        <v>0</v>
      </c>
      <c r="U299" s="59">
        <f t="shared" si="473"/>
        <v>1248</v>
      </c>
      <c r="V299" s="59">
        <f t="shared" si="473"/>
        <v>0</v>
      </c>
      <c r="W299" s="59">
        <f t="shared" si="473"/>
        <v>0</v>
      </c>
      <c r="X299" s="59">
        <f t="shared" si="473"/>
        <v>0</v>
      </c>
      <c r="Y299" s="76"/>
    </row>
    <row r="300" spans="1:25" s="3" customFormat="1" ht="43.5" customHeight="1">
      <c r="A300" s="82"/>
      <c r="B300" s="83" t="s">
        <v>265</v>
      </c>
      <c r="C300" s="84"/>
      <c r="D300" s="43">
        <f>D301</f>
        <v>1248</v>
      </c>
      <c r="E300" s="43">
        <f t="shared" si="473"/>
        <v>0</v>
      </c>
      <c r="F300" s="90">
        <f t="shared" si="473"/>
        <v>0</v>
      </c>
      <c r="G300" s="43">
        <f t="shared" si="473"/>
        <v>0</v>
      </c>
      <c r="H300" s="43">
        <f t="shared" si="473"/>
        <v>0</v>
      </c>
      <c r="I300" s="43">
        <f t="shared" si="473"/>
        <v>0</v>
      </c>
      <c r="J300" s="43">
        <f t="shared" si="473"/>
        <v>0</v>
      </c>
      <c r="K300" s="43">
        <f t="shared" si="473"/>
        <v>0</v>
      </c>
      <c r="L300" s="43">
        <f t="shared" si="473"/>
        <v>0</v>
      </c>
      <c r="M300" s="43">
        <f t="shared" si="473"/>
        <v>0</v>
      </c>
      <c r="N300" s="43">
        <f t="shared" si="473"/>
        <v>0</v>
      </c>
      <c r="O300" s="43">
        <f t="shared" si="473"/>
        <v>0</v>
      </c>
      <c r="P300" s="43">
        <f t="shared" si="473"/>
        <v>0</v>
      </c>
      <c r="Q300" s="43">
        <f t="shared" si="473"/>
        <v>0</v>
      </c>
      <c r="R300" s="43">
        <f t="shared" si="473"/>
        <v>0</v>
      </c>
      <c r="S300" s="43">
        <f t="shared" si="473"/>
        <v>0</v>
      </c>
      <c r="T300" s="43">
        <f t="shared" si="473"/>
        <v>0</v>
      </c>
      <c r="U300" s="43">
        <f t="shared" si="473"/>
        <v>1248</v>
      </c>
      <c r="V300" s="43">
        <f t="shared" si="473"/>
        <v>0</v>
      </c>
      <c r="W300" s="43">
        <f t="shared" si="473"/>
        <v>0</v>
      </c>
      <c r="X300" s="43">
        <f t="shared" si="473"/>
        <v>0</v>
      </c>
      <c r="Y300" s="82"/>
    </row>
    <row r="301" spans="1:25" s="104" customFormat="1" ht="54.75" customHeight="1">
      <c r="A301" s="101"/>
      <c r="B301" s="102" t="s">
        <v>212</v>
      </c>
      <c r="C301" s="103"/>
      <c r="D301" s="93">
        <f>E301+J301+N301+O301+SUM(R301:V301)</f>
        <v>1248</v>
      </c>
      <c r="E301" s="94">
        <f>SUM(F301:I301)</f>
        <v>0</v>
      </c>
      <c r="F301" s="107"/>
      <c r="G301" s="106"/>
      <c r="H301" s="106"/>
      <c r="I301" s="106"/>
      <c r="J301" s="94">
        <f t="shared" ref="J301" si="474">SUM(K301:M301)</f>
        <v>0</v>
      </c>
      <c r="K301" s="106"/>
      <c r="L301" s="106"/>
      <c r="M301" s="106"/>
      <c r="N301" s="106"/>
      <c r="O301" s="94">
        <f t="shared" ref="O301" si="475">SUM(P301:Q301)</f>
        <v>0</v>
      </c>
      <c r="P301" s="106"/>
      <c r="Q301" s="106"/>
      <c r="R301" s="106"/>
      <c r="S301" s="106"/>
      <c r="T301" s="106"/>
      <c r="U301" s="106">
        <v>1248</v>
      </c>
      <c r="V301" s="94">
        <f t="shared" ref="V301" si="476">SUM(W301:X301)</f>
        <v>0</v>
      </c>
      <c r="W301" s="106">
        <f>ROUND(S301*15%,-0.1)</f>
        <v>0</v>
      </c>
      <c r="X301" s="106">
        <f>ROUND(T301*15%,-0.1)</f>
        <v>0</v>
      </c>
      <c r="Y301" s="101"/>
    </row>
    <row r="302" spans="1:25" s="79" customFormat="1" ht="52.5" customHeight="1">
      <c r="A302" s="76">
        <v>2</v>
      </c>
      <c r="B302" s="77" t="s">
        <v>213</v>
      </c>
      <c r="C302" s="78" t="s">
        <v>214</v>
      </c>
      <c r="D302" s="59">
        <f>D303</f>
        <v>112</v>
      </c>
      <c r="E302" s="59">
        <f t="shared" ref="E302:X303" si="477">E303</f>
        <v>0</v>
      </c>
      <c r="F302" s="60">
        <f t="shared" si="477"/>
        <v>0</v>
      </c>
      <c r="G302" s="59">
        <f t="shared" si="477"/>
        <v>0</v>
      </c>
      <c r="H302" s="59">
        <f t="shared" si="477"/>
        <v>0</v>
      </c>
      <c r="I302" s="59">
        <f t="shared" si="477"/>
        <v>0</v>
      </c>
      <c r="J302" s="59">
        <f t="shared" si="477"/>
        <v>10</v>
      </c>
      <c r="K302" s="59">
        <f t="shared" si="477"/>
        <v>0</v>
      </c>
      <c r="L302" s="59">
        <f t="shared" si="477"/>
        <v>0</v>
      </c>
      <c r="M302" s="59">
        <f t="shared" si="477"/>
        <v>10</v>
      </c>
      <c r="N302" s="59">
        <f t="shared" si="477"/>
        <v>0</v>
      </c>
      <c r="O302" s="59">
        <f t="shared" si="477"/>
        <v>0</v>
      </c>
      <c r="P302" s="59">
        <f t="shared" si="477"/>
        <v>0</v>
      </c>
      <c r="Q302" s="59">
        <f t="shared" si="477"/>
        <v>0</v>
      </c>
      <c r="R302" s="59">
        <f t="shared" si="477"/>
        <v>0</v>
      </c>
      <c r="S302" s="59">
        <f t="shared" si="477"/>
        <v>102</v>
      </c>
      <c r="T302" s="59">
        <f t="shared" si="477"/>
        <v>0</v>
      </c>
      <c r="U302" s="59">
        <f t="shared" si="477"/>
        <v>0</v>
      </c>
      <c r="V302" s="59">
        <f t="shared" si="477"/>
        <v>0</v>
      </c>
      <c r="W302" s="59">
        <f t="shared" si="477"/>
        <v>0</v>
      </c>
      <c r="X302" s="59">
        <f t="shared" si="477"/>
        <v>0</v>
      </c>
      <c r="Y302" s="76"/>
    </row>
    <row r="303" spans="1:25" s="3" customFormat="1" ht="42.75" customHeight="1">
      <c r="A303" s="82"/>
      <c r="B303" s="83" t="s">
        <v>215</v>
      </c>
      <c r="C303" s="84"/>
      <c r="D303" s="43">
        <f>D304</f>
        <v>112</v>
      </c>
      <c r="E303" s="43">
        <f t="shared" si="477"/>
        <v>0</v>
      </c>
      <c r="F303" s="90">
        <f t="shared" si="477"/>
        <v>0</v>
      </c>
      <c r="G303" s="43">
        <f t="shared" si="477"/>
        <v>0</v>
      </c>
      <c r="H303" s="43">
        <f t="shared" si="477"/>
        <v>0</v>
      </c>
      <c r="I303" s="43">
        <f t="shared" si="477"/>
        <v>0</v>
      </c>
      <c r="J303" s="43">
        <f t="shared" si="477"/>
        <v>10</v>
      </c>
      <c r="K303" s="43">
        <f t="shared" si="477"/>
        <v>0</v>
      </c>
      <c r="L303" s="43">
        <f t="shared" si="477"/>
        <v>0</v>
      </c>
      <c r="M303" s="43">
        <f t="shared" si="477"/>
        <v>10</v>
      </c>
      <c r="N303" s="43">
        <f t="shared" si="477"/>
        <v>0</v>
      </c>
      <c r="O303" s="43">
        <f t="shared" si="477"/>
        <v>0</v>
      </c>
      <c r="P303" s="43">
        <f t="shared" si="477"/>
        <v>0</v>
      </c>
      <c r="Q303" s="43">
        <f t="shared" si="477"/>
        <v>0</v>
      </c>
      <c r="R303" s="43">
        <f t="shared" si="477"/>
        <v>0</v>
      </c>
      <c r="S303" s="43">
        <f t="shared" si="477"/>
        <v>102</v>
      </c>
      <c r="T303" s="43">
        <f t="shared" si="477"/>
        <v>0</v>
      </c>
      <c r="U303" s="43">
        <f t="shared" si="477"/>
        <v>0</v>
      </c>
      <c r="V303" s="43">
        <f t="shared" si="477"/>
        <v>0</v>
      </c>
      <c r="W303" s="43">
        <f t="shared" si="477"/>
        <v>0</v>
      </c>
      <c r="X303" s="43">
        <f t="shared" si="477"/>
        <v>0</v>
      </c>
      <c r="Y303" s="82"/>
    </row>
    <row r="304" spans="1:25" s="104" customFormat="1" ht="62.25" customHeight="1">
      <c r="A304" s="101"/>
      <c r="B304" s="102" t="s">
        <v>216</v>
      </c>
      <c r="C304" s="103"/>
      <c r="D304" s="93">
        <f>E304+J304+N304+O304+SUM(R304:V304)</f>
        <v>112</v>
      </c>
      <c r="E304" s="94">
        <f>SUM(F304:I304)</f>
        <v>0</v>
      </c>
      <c r="F304" s="107"/>
      <c r="G304" s="106"/>
      <c r="H304" s="106"/>
      <c r="I304" s="106"/>
      <c r="J304" s="94">
        <f t="shared" ref="J304" si="478">SUM(K304:M304)</f>
        <v>10</v>
      </c>
      <c r="K304" s="106"/>
      <c r="L304" s="106"/>
      <c r="M304" s="106">
        <v>10</v>
      </c>
      <c r="N304" s="106"/>
      <c r="O304" s="94">
        <f t="shared" ref="O304" si="479">SUM(P304:Q304)</f>
        <v>0</v>
      </c>
      <c r="P304" s="106"/>
      <c r="Q304" s="106"/>
      <c r="R304" s="106"/>
      <c r="S304" s="106">
        <v>102</v>
      </c>
      <c r="T304" s="106"/>
      <c r="U304" s="106"/>
      <c r="V304" s="94">
        <f t="shared" ref="V304" si="480">SUM(W304:X304)</f>
        <v>0</v>
      </c>
      <c r="W304" s="106"/>
      <c r="X304" s="106"/>
      <c r="Y304" s="101"/>
    </row>
    <row r="305" spans="1:25" s="32" customFormat="1" ht="24" customHeight="1">
      <c r="A305" s="31" t="s">
        <v>266</v>
      </c>
      <c r="B305" s="31" t="s">
        <v>267</v>
      </c>
      <c r="C305" s="28"/>
      <c r="D305" s="29">
        <f>D306</f>
        <v>233</v>
      </c>
      <c r="E305" s="29">
        <f t="shared" ref="E305:X307" si="481">E306</f>
        <v>0</v>
      </c>
      <c r="F305" s="30">
        <f t="shared" si="481"/>
        <v>0</v>
      </c>
      <c r="G305" s="29">
        <f t="shared" si="481"/>
        <v>0</v>
      </c>
      <c r="H305" s="29">
        <f t="shared" si="481"/>
        <v>0</v>
      </c>
      <c r="I305" s="29">
        <f t="shared" si="481"/>
        <v>0</v>
      </c>
      <c r="J305" s="29">
        <f t="shared" si="481"/>
        <v>0</v>
      </c>
      <c r="K305" s="29">
        <f t="shared" si="481"/>
        <v>0</v>
      </c>
      <c r="L305" s="29">
        <f t="shared" si="481"/>
        <v>0</v>
      </c>
      <c r="M305" s="29">
        <f t="shared" si="481"/>
        <v>0</v>
      </c>
      <c r="N305" s="29">
        <f t="shared" si="481"/>
        <v>0</v>
      </c>
      <c r="O305" s="29">
        <f t="shared" si="481"/>
        <v>0</v>
      </c>
      <c r="P305" s="29">
        <f t="shared" si="481"/>
        <v>0</v>
      </c>
      <c r="Q305" s="29">
        <f t="shared" si="481"/>
        <v>0</v>
      </c>
      <c r="R305" s="29">
        <f t="shared" si="481"/>
        <v>0</v>
      </c>
      <c r="S305" s="29">
        <f t="shared" si="481"/>
        <v>0</v>
      </c>
      <c r="T305" s="29">
        <f t="shared" si="481"/>
        <v>233</v>
      </c>
      <c r="U305" s="29">
        <f t="shared" si="481"/>
        <v>0</v>
      </c>
      <c r="V305" s="29">
        <f t="shared" si="481"/>
        <v>0</v>
      </c>
      <c r="W305" s="29">
        <f t="shared" si="481"/>
        <v>0</v>
      </c>
      <c r="X305" s="29">
        <f t="shared" si="481"/>
        <v>0</v>
      </c>
      <c r="Y305" s="31"/>
    </row>
    <row r="306" spans="1:25" s="75" customFormat="1" ht="33.75" customHeight="1">
      <c r="A306" s="71">
        <v>1</v>
      </c>
      <c r="B306" s="71" t="s">
        <v>223</v>
      </c>
      <c r="C306" s="72" t="s">
        <v>176</v>
      </c>
      <c r="D306" s="73">
        <f>D307</f>
        <v>233</v>
      </c>
      <c r="E306" s="73">
        <f t="shared" si="481"/>
        <v>0</v>
      </c>
      <c r="F306" s="74">
        <f t="shared" si="481"/>
        <v>0</v>
      </c>
      <c r="G306" s="73">
        <f t="shared" si="481"/>
        <v>0</v>
      </c>
      <c r="H306" s="73">
        <f t="shared" si="481"/>
        <v>0</v>
      </c>
      <c r="I306" s="73">
        <f t="shared" si="481"/>
        <v>0</v>
      </c>
      <c r="J306" s="73">
        <f t="shared" si="481"/>
        <v>0</v>
      </c>
      <c r="K306" s="73">
        <f t="shared" si="481"/>
        <v>0</v>
      </c>
      <c r="L306" s="73">
        <f t="shared" si="481"/>
        <v>0</v>
      </c>
      <c r="M306" s="73">
        <f t="shared" si="481"/>
        <v>0</v>
      </c>
      <c r="N306" s="73">
        <f t="shared" si="481"/>
        <v>0</v>
      </c>
      <c r="O306" s="73">
        <f t="shared" si="481"/>
        <v>0</v>
      </c>
      <c r="P306" s="73">
        <f t="shared" si="481"/>
        <v>0</v>
      </c>
      <c r="Q306" s="73">
        <f t="shared" si="481"/>
        <v>0</v>
      </c>
      <c r="R306" s="73">
        <f t="shared" si="481"/>
        <v>0</v>
      </c>
      <c r="S306" s="73">
        <f t="shared" si="481"/>
        <v>0</v>
      </c>
      <c r="T306" s="73">
        <f t="shared" si="481"/>
        <v>233</v>
      </c>
      <c r="U306" s="73">
        <f t="shared" si="481"/>
        <v>0</v>
      </c>
      <c r="V306" s="73">
        <f t="shared" si="481"/>
        <v>0</v>
      </c>
      <c r="W306" s="73">
        <f t="shared" si="481"/>
        <v>0</v>
      </c>
      <c r="X306" s="73">
        <f t="shared" si="481"/>
        <v>0</v>
      </c>
      <c r="Y306" s="71"/>
    </row>
    <row r="307" spans="1:25" s="79" customFormat="1" ht="75" customHeight="1">
      <c r="A307" s="76"/>
      <c r="B307" s="77" t="s">
        <v>191</v>
      </c>
      <c r="C307" s="78" t="s">
        <v>192</v>
      </c>
      <c r="D307" s="59">
        <f>D308</f>
        <v>233</v>
      </c>
      <c r="E307" s="59">
        <f t="shared" si="481"/>
        <v>0</v>
      </c>
      <c r="F307" s="60">
        <f t="shared" si="481"/>
        <v>0</v>
      </c>
      <c r="G307" s="59">
        <f t="shared" si="481"/>
        <v>0</v>
      </c>
      <c r="H307" s="59">
        <f t="shared" si="481"/>
        <v>0</v>
      </c>
      <c r="I307" s="59">
        <f t="shared" si="481"/>
        <v>0</v>
      </c>
      <c r="J307" s="59">
        <f t="shared" si="481"/>
        <v>0</v>
      </c>
      <c r="K307" s="59">
        <f t="shared" si="481"/>
        <v>0</v>
      </c>
      <c r="L307" s="59">
        <f t="shared" si="481"/>
        <v>0</v>
      </c>
      <c r="M307" s="59">
        <f t="shared" si="481"/>
        <v>0</v>
      </c>
      <c r="N307" s="59">
        <f t="shared" si="481"/>
        <v>0</v>
      </c>
      <c r="O307" s="59">
        <f t="shared" si="481"/>
        <v>0</v>
      </c>
      <c r="P307" s="59">
        <f t="shared" si="481"/>
        <v>0</v>
      </c>
      <c r="Q307" s="59">
        <f t="shared" si="481"/>
        <v>0</v>
      </c>
      <c r="R307" s="59">
        <f t="shared" si="481"/>
        <v>0</v>
      </c>
      <c r="S307" s="59">
        <f t="shared" si="481"/>
        <v>0</v>
      </c>
      <c r="T307" s="59">
        <f t="shared" si="481"/>
        <v>233</v>
      </c>
      <c r="U307" s="59">
        <f t="shared" si="481"/>
        <v>0</v>
      </c>
      <c r="V307" s="59">
        <f t="shared" si="481"/>
        <v>0</v>
      </c>
      <c r="W307" s="59">
        <f t="shared" si="481"/>
        <v>0</v>
      </c>
      <c r="X307" s="59">
        <f t="shared" si="481"/>
        <v>0</v>
      </c>
      <c r="Y307" s="76"/>
    </row>
    <row r="308" spans="1:25" s="99" customFormat="1" ht="52.5" customHeight="1">
      <c r="A308" s="97"/>
      <c r="B308" s="42" t="s">
        <v>234</v>
      </c>
      <c r="C308" s="98"/>
      <c r="D308" s="43">
        <f>E308+J308+N308+O308+SUM(R308:V308)</f>
        <v>233</v>
      </c>
      <c r="E308" s="44">
        <f>SUM(F308:I308)</f>
        <v>0</v>
      </c>
      <c r="F308" s="47"/>
      <c r="G308" s="48"/>
      <c r="H308" s="48"/>
      <c r="I308" s="48"/>
      <c r="J308" s="44">
        <f t="shared" ref="J308" si="482">SUM(K308:M308)</f>
        <v>0</v>
      </c>
      <c r="K308" s="48"/>
      <c r="L308" s="48"/>
      <c r="M308" s="48"/>
      <c r="N308" s="48"/>
      <c r="O308" s="44">
        <f t="shared" ref="O308" si="483">SUM(P308:Q308)</f>
        <v>0</v>
      </c>
      <c r="P308" s="48"/>
      <c r="Q308" s="48"/>
      <c r="R308" s="48"/>
      <c r="S308" s="48"/>
      <c r="T308" s="48">
        <v>233</v>
      </c>
      <c r="U308" s="48"/>
      <c r="V308" s="44">
        <f t="shared" ref="V308" si="484">SUM(W308:X308)</f>
        <v>0</v>
      </c>
      <c r="W308" s="48"/>
      <c r="X308" s="48"/>
      <c r="Y308" s="97"/>
    </row>
    <row r="309" spans="1:25" s="32" customFormat="1" ht="20.25" customHeight="1">
      <c r="A309" s="31" t="s">
        <v>268</v>
      </c>
      <c r="B309" s="31" t="s">
        <v>269</v>
      </c>
      <c r="C309" s="28"/>
      <c r="D309" s="29">
        <f>D310</f>
        <v>322</v>
      </c>
      <c r="E309" s="29">
        <f t="shared" ref="E309:X309" si="485">E310</f>
        <v>122</v>
      </c>
      <c r="F309" s="30">
        <f t="shared" si="485"/>
        <v>0</v>
      </c>
      <c r="G309" s="29">
        <f t="shared" si="485"/>
        <v>0</v>
      </c>
      <c r="H309" s="29">
        <f t="shared" si="485"/>
        <v>0</v>
      </c>
      <c r="I309" s="29">
        <f t="shared" si="485"/>
        <v>122</v>
      </c>
      <c r="J309" s="29">
        <f t="shared" si="485"/>
        <v>200</v>
      </c>
      <c r="K309" s="29">
        <f t="shared" si="485"/>
        <v>200</v>
      </c>
      <c r="L309" s="29">
        <f t="shared" si="485"/>
        <v>0</v>
      </c>
      <c r="M309" s="29">
        <f t="shared" si="485"/>
        <v>0</v>
      </c>
      <c r="N309" s="29">
        <f t="shared" si="485"/>
        <v>0</v>
      </c>
      <c r="O309" s="29">
        <f t="shared" si="485"/>
        <v>0</v>
      </c>
      <c r="P309" s="29">
        <f t="shared" si="485"/>
        <v>0</v>
      </c>
      <c r="Q309" s="29">
        <f t="shared" si="485"/>
        <v>0</v>
      </c>
      <c r="R309" s="29">
        <f t="shared" si="485"/>
        <v>0</v>
      </c>
      <c r="S309" s="29">
        <f t="shared" si="485"/>
        <v>0</v>
      </c>
      <c r="T309" s="29">
        <f t="shared" si="485"/>
        <v>0</v>
      </c>
      <c r="U309" s="29">
        <f t="shared" si="485"/>
        <v>0</v>
      </c>
      <c r="V309" s="29">
        <f t="shared" si="485"/>
        <v>0</v>
      </c>
      <c r="W309" s="29">
        <f t="shared" si="485"/>
        <v>0</v>
      </c>
      <c r="X309" s="29">
        <f t="shared" si="485"/>
        <v>0</v>
      </c>
      <c r="Y309" s="31"/>
    </row>
    <row r="310" spans="1:25" s="75" customFormat="1" ht="20.25" customHeight="1">
      <c r="A310" s="71"/>
      <c r="B310" s="71" t="s">
        <v>223</v>
      </c>
      <c r="C310" s="72" t="s">
        <v>176</v>
      </c>
      <c r="D310" s="73">
        <f>D311+D314</f>
        <v>322</v>
      </c>
      <c r="E310" s="73">
        <f t="shared" ref="E310:X310" si="486">E311+E314</f>
        <v>122</v>
      </c>
      <c r="F310" s="74">
        <f t="shared" si="486"/>
        <v>0</v>
      </c>
      <c r="G310" s="73">
        <f t="shared" si="486"/>
        <v>0</v>
      </c>
      <c r="H310" s="73">
        <f t="shared" si="486"/>
        <v>0</v>
      </c>
      <c r="I310" s="73">
        <f t="shared" si="486"/>
        <v>122</v>
      </c>
      <c r="J310" s="73">
        <f t="shared" si="486"/>
        <v>200</v>
      </c>
      <c r="K310" s="73">
        <f t="shared" si="486"/>
        <v>200</v>
      </c>
      <c r="L310" s="73">
        <f t="shared" si="486"/>
        <v>0</v>
      </c>
      <c r="M310" s="73">
        <f t="shared" si="486"/>
        <v>0</v>
      </c>
      <c r="N310" s="73">
        <f t="shared" si="486"/>
        <v>0</v>
      </c>
      <c r="O310" s="73">
        <f t="shared" si="486"/>
        <v>0</v>
      </c>
      <c r="P310" s="73">
        <f t="shared" si="486"/>
        <v>0</v>
      </c>
      <c r="Q310" s="73">
        <f t="shared" si="486"/>
        <v>0</v>
      </c>
      <c r="R310" s="73">
        <f t="shared" si="486"/>
        <v>0</v>
      </c>
      <c r="S310" s="73">
        <f t="shared" si="486"/>
        <v>0</v>
      </c>
      <c r="T310" s="73">
        <f t="shared" si="486"/>
        <v>0</v>
      </c>
      <c r="U310" s="73">
        <f t="shared" si="486"/>
        <v>0</v>
      </c>
      <c r="V310" s="73">
        <f t="shared" si="486"/>
        <v>0</v>
      </c>
      <c r="W310" s="73">
        <f t="shared" si="486"/>
        <v>0</v>
      </c>
      <c r="X310" s="73">
        <f t="shared" si="486"/>
        <v>0</v>
      </c>
      <c r="Y310" s="71"/>
    </row>
    <row r="311" spans="1:25" s="79" customFormat="1" ht="99.75" customHeight="1">
      <c r="A311" s="76">
        <v>1</v>
      </c>
      <c r="B311" s="77" t="s">
        <v>179</v>
      </c>
      <c r="C311" s="78" t="s">
        <v>180</v>
      </c>
      <c r="D311" s="59">
        <f>SUM(D312:D313)</f>
        <v>200</v>
      </c>
      <c r="E311" s="59">
        <f t="shared" ref="E311:X311" si="487">SUM(E312:E313)</f>
        <v>0</v>
      </c>
      <c r="F311" s="60">
        <f t="shared" si="487"/>
        <v>0</v>
      </c>
      <c r="G311" s="59">
        <f t="shared" si="487"/>
        <v>0</v>
      </c>
      <c r="H311" s="59">
        <f t="shared" si="487"/>
        <v>0</v>
      </c>
      <c r="I311" s="59">
        <f t="shared" si="487"/>
        <v>0</v>
      </c>
      <c r="J311" s="59">
        <f t="shared" si="487"/>
        <v>200</v>
      </c>
      <c r="K311" s="59">
        <f t="shared" si="487"/>
        <v>200</v>
      </c>
      <c r="L311" s="59">
        <f t="shared" si="487"/>
        <v>0</v>
      </c>
      <c r="M311" s="59">
        <f t="shared" si="487"/>
        <v>0</v>
      </c>
      <c r="N311" s="59">
        <f t="shared" si="487"/>
        <v>0</v>
      </c>
      <c r="O311" s="59">
        <f t="shared" si="487"/>
        <v>0</v>
      </c>
      <c r="P311" s="59">
        <f t="shared" si="487"/>
        <v>0</v>
      </c>
      <c r="Q311" s="59">
        <f t="shared" si="487"/>
        <v>0</v>
      </c>
      <c r="R311" s="59">
        <f t="shared" si="487"/>
        <v>0</v>
      </c>
      <c r="S311" s="59">
        <f t="shared" si="487"/>
        <v>0</v>
      </c>
      <c r="T311" s="59">
        <f t="shared" si="487"/>
        <v>0</v>
      </c>
      <c r="U311" s="59">
        <f t="shared" si="487"/>
        <v>0</v>
      </c>
      <c r="V311" s="59">
        <f t="shared" si="487"/>
        <v>0</v>
      </c>
      <c r="W311" s="59">
        <f t="shared" si="487"/>
        <v>0</v>
      </c>
      <c r="X311" s="59">
        <f t="shared" si="487"/>
        <v>0</v>
      </c>
      <c r="Y311" s="76"/>
    </row>
    <row r="312" spans="1:25" s="3" customFormat="1" ht="63">
      <c r="A312" s="80"/>
      <c r="B312" s="42" t="s">
        <v>270</v>
      </c>
      <c r="C312" s="81"/>
      <c r="D312" s="43">
        <f t="shared" ref="D312:D313" si="488">E312+J312+N312+O312+SUM(R312:V312)</f>
        <v>200</v>
      </c>
      <c r="E312" s="44">
        <f t="shared" ref="E312:E313" si="489">SUM(F312:I312)</f>
        <v>0</v>
      </c>
      <c r="F312" s="47"/>
      <c r="G312" s="48"/>
      <c r="H312" s="48"/>
      <c r="I312" s="48"/>
      <c r="J312" s="44">
        <f t="shared" ref="J312:J313" si="490">SUM(K312:M312)</f>
        <v>200</v>
      </c>
      <c r="K312" s="48">
        <v>200</v>
      </c>
      <c r="L312" s="48"/>
      <c r="M312" s="48"/>
      <c r="N312" s="48"/>
      <c r="O312" s="44">
        <f t="shared" ref="O312:O313" si="491">SUM(P312:Q312)</f>
        <v>0</v>
      </c>
      <c r="P312" s="48"/>
      <c r="Q312" s="48"/>
      <c r="R312" s="48"/>
      <c r="S312" s="48"/>
      <c r="T312" s="48"/>
      <c r="U312" s="48"/>
      <c r="V312" s="44">
        <f t="shared" ref="V312:V313" si="492">SUM(W312:X312)</f>
        <v>0</v>
      </c>
      <c r="W312" s="48"/>
      <c r="X312" s="48"/>
      <c r="Y312" s="83" t="s">
        <v>271</v>
      </c>
    </row>
    <row r="313" spans="1:25" s="3" customFormat="1" ht="15.75" hidden="1">
      <c r="A313" s="80"/>
      <c r="B313" s="42"/>
      <c r="C313" s="81"/>
      <c r="D313" s="43">
        <f t="shared" si="488"/>
        <v>0</v>
      </c>
      <c r="E313" s="44">
        <f t="shared" si="489"/>
        <v>0</v>
      </c>
      <c r="F313" s="47"/>
      <c r="G313" s="48"/>
      <c r="H313" s="48"/>
      <c r="I313" s="48"/>
      <c r="J313" s="44">
        <f t="shared" si="490"/>
        <v>0</v>
      </c>
      <c r="K313" s="48"/>
      <c r="L313" s="48"/>
      <c r="M313" s="48"/>
      <c r="N313" s="48"/>
      <c r="O313" s="44">
        <f t="shared" si="491"/>
        <v>0</v>
      </c>
      <c r="P313" s="48"/>
      <c r="Q313" s="48"/>
      <c r="R313" s="48"/>
      <c r="S313" s="48"/>
      <c r="T313" s="48"/>
      <c r="U313" s="48"/>
      <c r="V313" s="44">
        <f t="shared" si="492"/>
        <v>0</v>
      </c>
      <c r="W313" s="48"/>
      <c r="X313" s="48"/>
      <c r="Y313" s="80"/>
    </row>
    <row r="314" spans="1:25" s="79" customFormat="1" ht="75">
      <c r="A314" s="76">
        <v>2</v>
      </c>
      <c r="B314" s="77" t="s">
        <v>191</v>
      </c>
      <c r="C314" s="78" t="s">
        <v>192</v>
      </c>
      <c r="D314" s="59">
        <f>SUM(D315:D316)</f>
        <v>122</v>
      </c>
      <c r="E314" s="59">
        <f t="shared" ref="E314:X314" si="493">SUM(E315:E316)</f>
        <v>122</v>
      </c>
      <c r="F314" s="60">
        <f t="shared" si="493"/>
        <v>0</v>
      </c>
      <c r="G314" s="59">
        <f t="shared" si="493"/>
        <v>0</v>
      </c>
      <c r="H314" s="59">
        <f t="shared" si="493"/>
        <v>0</v>
      </c>
      <c r="I314" s="59">
        <f t="shared" si="493"/>
        <v>122</v>
      </c>
      <c r="J314" s="59">
        <f t="shared" si="493"/>
        <v>0</v>
      </c>
      <c r="K314" s="59">
        <f t="shared" si="493"/>
        <v>0</v>
      </c>
      <c r="L314" s="59">
        <f t="shared" si="493"/>
        <v>0</v>
      </c>
      <c r="M314" s="59">
        <f t="shared" si="493"/>
        <v>0</v>
      </c>
      <c r="N314" s="59">
        <f t="shared" si="493"/>
        <v>0</v>
      </c>
      <c r="O314" s="59">
        <f t="shared" si="493"/>
        <v>0</v>
      </c>
      <c r="P314" s="59">
        <f t="shared" si="493"/>
        <v>0</v>
      </c>
      <c r="Q314" s="59">
        <f t="shared" si="493"/>
        <v>0</v>
      </c>
      <c r="R314" s="59">
        <f t="shared" si="493"/>
        <v>0</v>
      </c>
      <c r="S314" s="59">
        <f t="shared" si="493"/>
        <v>0</v>
      </c>
      <c r="T314" s="59">
        <f t="shared" si="493"/>
        <v>0</v>
      </c>
      <c r="U314" s="59">
        <f t="shared" si="493"/>
        <v>0</v>
      </c>
      <c r="V314" s="59">
        <f t="shared" si="493"/>
        <v>0</v>
      </c>
      <c r="W314" s="59">
        <f t="shared" si="493"/>
        <v>0</v>
      </c>
      <c r="X314" s="59">
        <f t="shared" si="493"/>
        <v>0</v>
      </c>
      <c r="Y314" s="76"/>
    </row>
    <row r="315" spans="1:25" s="3" customFormat="1" ht="46.5" customHeight="1">
      <c r="A315" s="80"/>
      <c r="B315" s="42" t="s">
        <v>237</v>
      </c>
      <c r="C315" s="81"/>
      <c r="D315" s="43">
        <f t="shared" ref="D315:D316" si="494">E315+J315+N315+O315+SUM(R315:V315)</f>
        <v>10</v>
      </c>
      <c r="E315" s="44">
        <f t="shared" ref="E315:E316" si="495">SUM(F315:I315)</f>
        <v>10</v>
      </c>
      <c r="F315" s="47"/>
      <c r="G315" s="48"/>
      <c r="H315" s="48"/>
      <c r="I315" s="48">
        <v>10</v>
      </c>
      <c r="J315" s="44">
        <f t="shared" ref="J315:J316" si="496">SUM(K315:M315)</f>
        <v>0</v>
      </c>
      <c r="K315" s="48"/>
      <c r="L315" s="48"/>
      <c r="M315" s="48"/>
      <c r="N315" s="48"/>
      <c r="O315" s="44">
        <f t="shared" ref="O315:O316" si="497">SUM(P315:Q315)</f>
        <v>0</v>
      </c>
      <c r="P315" s="48"/>
      <c r="Q315" s="48"/>
      <c r="R315" s="48"/>
      <c r="S315" s="48"/>
      <c r="T315" s="48"/>
      <c r="U315" s="48"/>
      <c r="V315" s="44">
        <f t="shared" ref="V315:V316" si="498">SUM(W315:X315)</f>
        <v>0</v>
      </c>
      <c r="W315" s="48"/>
      <c r="X315" s="48"/>
      <c r="Y315" s="80"/>
    </row>
    <row r="316" spans="1:25" s="3" customFormat="1" ht="59.25" customHeight="1">
      <c r="A316" s="80"/>
      <c r="B316" s="42" t="s">
        <v>234</v>
      </c>
      <c r="C316" s="81"/>
      <c r="D316" s="43">
        <f t="shared" si="494"/>
        <v>112</v>
      </c>
      <c r="E316" s="44">
        <f t="shared" si="495"/>
        <v>112</v>
      </c>
      <c r="F316" s="47"/>
      <c r="G316" s="48"/>
      <c r="H316" s="48"/>
      <c r="I316" s="48">
        <v>112</v>
      </c>
      <c r="J316" s="44">
        <f t="shared" si="496"/>
        <v>0</v>
      </c>
      <c r="K316" s="48"/>
      <c r="L316" s="48"/>
      <c r="M316" s="48"/>
      <c r="N316" s="48"/>
      <c r="O316" s="44">
        <f t="shared" si="497"/>
        <v>0</v>
      </c>
      <c r="P316" s="48"/>
      <c r="Q316" s="48"/>
      <c r="R316" s="48"/>
      <c r="S316" s="48"/>
      <c r="T316" s="48"/>
      <c r="U316" s="48"/>
      <c r="V316" s="44">
        <f t="shared" si="498"/>
        <v>0</v>
      </c>
      <c r="W316" s="48"/>
      <c r="X316" s="48"/>
      <c r="Y316" s="80"/>
    </row>
    <row r="317" spans="1:25" s="32" customFormat="1" ht="26.25" customHeight="1">
      <c r="A317" s="31" t="s">
        <v>272</v>
      </c>
      <c r="B317" s="31" t="s">
        <v>273</v>
      </c>
      <c r="C317" s="28"/>
      <c r="D317" s="29">
        <f>D318</f>
        <v>200</v>
      </c>
      <c r="E317" s="29">
        <f t="shared" ref="E317:X318" si="499">E318</f>
        <v>20</v>
      </c>
      <c r="F317" s="30">
        <f t="shared" si="499"/>
        <v>0</v>
      </c>
      <c r="G317" s="29">
        <f t="shared" si="499"/>
        <v>20</v>
      </c>
      <c r="H317" s="29">
        <f t="shared" si="499"/>
        <v>0</v>
      </c>
      <c r="I317" s="29">
        <f t="shared" si="499"/>
        <v>0</v>
      </c>
      <c r="J317" s="29">
        <f t="shared" si="499"/>
        <v>0</v>
      </c>
      <c r="K317" s="29">
        <f t="shared" si="499"/>
        <v>0</v>
      </c>
      <c r="L317" s="29">
        <f t="shared" si="499"/>
        <v>0</v>
      </c>
      <c r="M317" s="29">
        <f t="shared" si="499"/>
        <v>0</v>
      </c>
      <c r="N317" s="29">
        <f t="shared" si="499"/>
        <v>0</v>
      </c>
      <c r="O317" s="29">
        <f t="shared" si="499"/>
        <v>0</v>
      </c>
      <c r="P317" s="29">
        <f t="shared" si="499"/>
        <v>0</v>
      </c>
      <c r="Q317" s="29">
        <f t="shared" si="499"/>
        <v>0</v>
      </c>
      <c r="R317" s="29">
        <f t="shared" si="499"/>
        <v>0</v>
      </c>
      <c r="S317" s="29">
        <f t="shared" si="499"/>
        <v>180</v>
      </c>
      <c r="T317" s="29">
        <f t="shared" si="499"/>
        <v>0</v>
      </c>
      <c r="U317" s="29">
        <f t="shared" si="499"/>
        <v>0</v>
      </c>
      <c r="V317" s="29">
        <f t="shared" si="499"/>
        <v>0</v>
      </c>
      <c r="W317" s="29">
        <f t="shared" si="499"/>
        <v>0</v>
      </c>
      <c r="X317" s="29">
        <f t="shared" si="499"/>
        <v>0</v>
      </c>
      <c r="Y317" s="31"/>
    </row>
    <row r="318" spans="1:25" s="75" customFormat="1" ht="26.25" customHeight="1">
      <c r="A318" s="71"/>
      <c r="B318" s="71" t="s">
        <v>223</v>
      </c>
      <c r="C318" s="72" t="s">
        <v>176</v>
      </c>
      <c r="D318" s="73">
        <f>D319</f>
        <v>200</v>
      </c>
      <c r="E318" s="73">
        <f t="shared" si="499"/>
        <v>20</v>
      </c>
      <c r="F318" s="74">
        <f t="shared" si="499"/>
        <v>0</v>
      </c>
      <c r="G318" s="73">
        <f t="shared" si="499"/>
        <v>20</v>
      </c>
      <c r="H318" s="73">
        <f t="shared" si="499"/>
        <v>0</v>
      </c>
      <c r="I318" s="73">
        <f t="shared" si="499"/>
        <v>0</v>
      </c>
      <c r="J318" s="73">
        <f t="shared" si="499"/>
        <v>0</v>
      </c>
      <c r="K318" s="73">
        <f t="shared" si="499"/>
        <v>0</v>
      </c>
      <c r="L318" s="73">
        <f t="shared" si="499"/>
        <v>0</v>
      </c>
      <c r="M318" s="73">
        <f t="shared" si="499"/>
        <v>0</v>
      </c>
      <c r="N318" s="73">
        <f t="shared" si="499"/>
        <v>0</v>
      </c>
      <c r="O318" s="73">
        <f t="shared" si="499"/>
        <v>0</v>
      </c>
      <c r="P318" s="73">
        <f t="shared" si="499"/>
        <v>0</v>
      </c>
      <c r="Q318" s="73">
        <f t="shared" si="499"/>
        <v>0</v>
      </c>
      <c r="R318" s="73">
        <f t="shared" si="499"/>
        <v>0</v>
      </c>
      <c r="S318" s="73">
        <f t="shared" si="499"/>
        <v>180</v>
      </c>
      <c r="T318" s="73">
        <f t="shared" si="499"/>
        <v>0</v>
      </c>
      <c r="U318" s="73">
        <f t="shared" si="499"/>
        <v>0</v>
      </c>
      <c r="V318" s="73">
        <f t="shared" si="499"/>
        <v>0</v>
      </c>
      <c r="W318" s="73">
        <f t="shared" si="499"/>
        <v>0</v>
      </c>
      <c r="X318" s="73">
        <f t="shared" si="499"/>
        <v>0</v>
      </c>
      <c r="Y318" s="71"/>
    </row>
    <row r="319" spans="1:25" s="79" customFormat="1" ht="75">
      <c r="A319" s="76"/>
      <c r="B319" s="77" t="s">
        <v>191</v>
      </c>
      <c r="C319" s="78" t="s">
        <v>192</v>
      </c>
      <c r="D319" s="59">
        <f>SUM(D320:D321)</f>
        <v>200</v>
      </c>
      <c r="E319" s="59">
        <f t="shared" ref="E319:X319" si="500">SUM(E320:E321)</f>
        <v>20</v>
      </c>
      <c r="F319" s="60">
        <f t="shared" si="500"/>
        <v>0</v>
      </c>
      <c r="G319" s="59">
        <f t="shared" si="500"/>
        <v>20</v>
      </c>
      <c r="H319" s="59">
        <f t="shared" si="500"/>
        <v>0</v>
      </c>
      <c r="I319" s="59">
        <f t="shared" si="500"/>
        <v>0</v>
      </c>
      <c r="J319" s="59">
        <f t="shared" si="500"/>
        <v>0</v>
      </c>
      <c r="K319" s="59">
        <f t="shared" si="500"/>
        <v>0</v>
      </c>
      <c r="L319" s="59">
        <f t="shared" si="500"/>
        <v>0</v>
      </c>
      <c r="M319" s="59">
        <f t="shared" si="500"/>
        <v>0</v>
      </c>
      <c r="N319" s="59">
        <f t="shared" si="500"/>
        <v>0</v>
      </c>
      <c r="O319" s="59">
        <f t="shared" si="500"/>
        <v>0</v>
      </c>
      <c r="P319" s="59">
        <f t="shared" si="500"/>
        <v>0</v>
      </c>
      <c r="Q319" s="59">
        <f t="shared" si="500"/>
        <v>0</v>
      </c>
      <c r="R319" s="59">
        <f t="shared" si="500"/>
        <v>0</v>
      </c>
      <c r="S319" s="59">
        <f t="shared" si="500"/>
        <v>180</v>
      </c>
      <c r="T319" s="59">
        <f t="shared" si="500"/>
        <v>0</v>
      </c>
      <c r="U319" s="59">
        <f t="shared" si="500"/>
        <v>0</v>
      </c>
      <c r="V319" s="59">
        <f t="shared" si="500"/>
        <v>0</v>
      </c>
      <c r="W319" s="59">
        <f t="shared" si="500"/>
        <v>0</v>
      </c>
      <c r="X319" s="59">
        <f t="shared" si="500"/>
        <v>0</v>
      </c>
      <c r="Y319" s="76"/>
    </row>
    <row r="320" spans="1:25" s="3" customFormat="1" ht="56.25" customHeight="1">
      <c r="A320" s="80"/>
      <c r="B320" s="42" t="s">
        <v>234</v>
      </c>
      <c r="C320" s="81"/>
      <c r="D320" s="43">
        <f t="shared" ref="D320:D321" si="501">E320+J320+N320+O320+SUM(R320:V320)</f>
        <v>200</v>
      </c>
      <c r="E320" s="44">
        <f>SUM(F320:I320)</f>
        <v>20</v>
      </c>
      <c r="F320" s="47"/>
      <c r="G320" s="48">
        <v>20</v>
      </c>
      <c r="H320" s="48"/>
      <c r="I320" s="48"/>
      <c r="J320" s="44">
        <f t="shared" ref="J320:J321" si="502">SUM(K320:M320)</f>
        <v>0</v>
      </c>
      <c r="K320" s="48"/>
      <c r="L320" s="48"/>
      <c r="M320" s="48"/>
      <c r="N320" s="48"/>
      <c r="O320" s="44">
        <f t="shared" ref="O320:O321" si="503">SUM(P320:Q320)</f>
        <v>0</v>
      </c>
      <c r="P320" s="48"/>
      <c r="Q320" s="48"/>
      <c r="R320" s="48"/>
      <c r="S320" s="48">
        <v>180</v>
      </c>
      <c r="T320" s="48"/>
      <c r="U320" s="48"/>
      <c r="V320" s="44">
        <f t="shared" ref="V320:V321" si="504">SUM(W320:X320)</f>
        <v>0</v>
      </c>
      <c r="W320" s="48"/>
      <c r="X320" s="48"/>
      <c r="Y320" s="80"/>
    </row>
    <row r="321" spans="1:25" s="3" customFormat="1" ht="15.75" hidden="1">
      <c r="A321" s="80"/>
      <c r="B321" s="42"/>
      <c r="C321" s="81"/>
      <c r="D321" s="43">
        <f t="shared" si="501"/>
        <v>0</v>
      </c>
      <c r="E321" s="44">
        <f t="shared" ref="E321" si="505">SUM(F321:I321)</f>
        <v>0</v>
      </c>
      <c r="F321" s="47"/>
      <c r="G321" s="48"/>
      <c r="H321" s="48"/>
      <c r="I321" s="48"/>
      <c r="J321" s="44">
        <f t="shared" si="502"/>
        <v>0</v>
      </c>
      <c r="K321" s="48"/>
      <c r="L321" s="48"/>
      <c r="M321" s="48"/>
      <c r="N321" s="48"/>
      <c r="O321" s="44">
        <f t="shared" si="503"/>
        <v>0</v>
      </c>
      <c r="P321" s="48"/>
      <c r="Q321" s="48"/>
      <c r="R321" s="48"/>
      <c r="S321" s="48"/>
      <c r="T321" s="48"/>
      <c r="U321" s="48"/>
      <c r="V321" s="44">
        <f t="shared" si="504"/>
        <v>0</v>
      </c>
      <c r="W321" s="48"/>
      <c r="X321" s="48"/>
      <c r="Y321" s="80"/>
    </row>
    <row r="322" spans="1:25" s="32" customFormat="1" ht="21.75" customHeight="1">
      <c r="A322" s="31" t="s">
        <v>274</v>
      </c>
      <c r="B322" s="31" t="s">
        <v>275</v>
      </c>
      <c r="C322" s="28"/>
      <c r="D322" s="29">
        <f>D323</f>
        <v>75</v>
      </c>
      <c r="E322" s="29">
        <f t="shared" ref="E322:X323" si="506">E323</f>
        <v>75</v>
      </c>
      <c r="F322" s="30">
        <f t="shared" si="506"/>
        <v>0</v>
      </c>
      <c r="G322" s="29">
        <f t="shared" si="506"/>
        <v>0</v>
      </c>
      <c r="H322" s="29">
        <f t="shared" si="506"/>
        <v>75</v>
      </c>
      <c r="I322" s="29">
        <f t="shared" si="506"/>
        <v>0</v>
      </c>
      <c r="J322" s="29">
        <f t="shared" si="506"/>
        <v>0</v>
      </c>
      <c r="K322" s="29">
        <f t="shared" si="506"/>
        <v>0</v>
      </c>
      <c r="L322" s="29">
        <f t="shared" si="506"/>
        <v>0</v>
      </c>
      <c r="M322" s="29">
        <f t="shared" si="506"/>
        <v>0</v>
      </c>
      <c r="N322" s="29">
        <f t="shared" si="506"/>
        <v>0</v>
      </c>
      <c r="O322" s="29">
        <f t="shared" si="506"/>
        <v>0</v>
      </c>
      <c r="P322" s="29">
        <f t="shared" si="506"/>
        <v>0</v>
      </c>
      <c r="Q322" s="29">
        <f t="shared" si="506"/>
        <v>0</v>
      </c>
      <c r="R322" s="29">
        <f t="shared" si="506"/>
        <v>0</v>
      </c>
      <c r="S322" s="29">
        <f t="shared" si="506"/>
        <v>0</v>
      </c>
      <c r="T322" s="29">
        <f t="shared" si="506"/>
        <v>0</v>
      </c>
      <c r="U322" s="29">
        <f t="shared" si="506"/>
        <v>0</v>
      </c>
      <c r="V322" s="29">
        <f t="shared" si="506"/>
        <v>0</v>
      </c>
      <c r="W322" s="29">
        <f t="shared" si="506"/>
        <v>0</v>
      </c>
      <c r="X322" s="29">
        <f t="shared" si="506"/>
        <v>0</v>
      </c>
      <c r="Y322" s="31"/>
    </row>
    <row r="323" spans="1:25" s="75" customFormat="1" ht="21.75" customHeight="1">
      <c r="A323" s="71"/>
      <c r="B323" s="71" t="s">
        <v>223</v>
      </c>
      <c r="C323" s="72" t="s">
        <v>176</v>
      </c>
      <c r="D323" s="73">
        <f>D324</f>
        <v>75</v>
      </c>
      <c r="E323" s="73">
        <f t="shared" si="506"/>
        <v>75</v>
      </c>
      <c r="F323" s="74">
        <f t="shared" si="506"/>
        <v>0</v>
      </c>
      <c r="G323" s="73">
        <f t="shared" si="506"/>
        <v>0</v>
      </c>
      <c r="H323" s="73">
        <f t="shared" si="506"/>
        <v>75</v>
      </c>
      <c r="I323" s="73">
        <f t="shared" si="506"/>
        <v>0</v>
      </c>
      <c r="J323" s="73">
        <f t="shared" si="506"/>
        <v>0</v>
      </c>
      <c r="K323" s="73">
        <f t="shared" si="506"/>
        <v>0</v>
      </c>
      <c r="L323" s="73">
        <f t="shared" si="506"/>
        <v>0</v>
      </c>
      <c r="M323" s="73">
        <f t="shared" si="506"/>
        <v>0</v>
      </c>
      <c r="N323" s="73">
        <f t="shared" si="506"/>
        <v>0</v>
      </c>
      <c r="O323" s="73">
        <f t="shared" si="506"/>
        <v>0</v>
      </c>
      <c r="P323" s="73">
        <f t="shared" si="506"/>
        <v>0</v>
      </c>
      <c r="Q323" s="73">
        <f t="shared" si="506"/>
        <v>0</v>
      </c>
      <c r="R323" s="73">
        <f t="shared" si="506"/>
        <v>0</v>
      </c>
      <c r="S323" s="73">
        <f t="shared" si="506"/>
        <v>0</v>
      </c>
      <c r="T323" s="73">
        <f t="shared" si="506"/>
        <v>0</v>
      </c>
      <c r="U323" s="73">
        <f t="shared" si="506"/>
        <v>0</v>
      </c>
      <c r="V323" s="73">
        <f t="shared" si="506"/>
        <v>0</v>
      </c>
      <c r="W323" s="73">
        <f t="shared" si="506"/>
        <v>0</v>
      </c>
      <c r="X323" s="73">
        <f t="shared" si="506"/>
        <v>0</v>
      </c>
      <c r="Y323" s="71"/>
    </row>
    <row r="324" spans="1:25" s="79" customFormat="1" ht="60.75" customHeight="1">
      <c r="A324" s="76"/>
      <c r="B324" s="77" t="s">
        <v>189</v>
      </c>
      <c r="C324" s="78" t="s">
        <v>190</v>
      </c>
      <c r="D324" s="59">
        <f>SUM(D325:D326)</f>
        <v>75</v>
      </c>
      <c r="E324" s="59">
        <f t="shared" ref="E324:X324" si="507">SUM(E325:E326)</f>
        <v>75</v>
      </c>
      <c r="F324" s="60">
        <f t="shared" si="507"/>
        <v>0</v>
      </c>
      <c r="G324" s="59">
        <f t="shared" si="507"/>
        <v>0</v>
      </c>
      <c r="H324" s="59">
        <f t="shared" si="507"/>
        <v>75</v>
      </c>
      <c r="I324" s="59">
        <f t="shared" si="507"/>
        <v>0</v>
      </c>
      <c r="J324" s="59">
        <f t="shared" si="507"/>
        <v>0</v>
      </c>
      <c r="K324" s="59">
        <f t="shared" si="507"/>
        <v>0</v>
      </c>
      <c r="L324" s="59">
        <f t="shared" si="507"/>
        <v>0</v>
      </c>
      <c r="M324" s="59">
        <f t="shared" si="507"/>
        <v>0</v>
      </c>
      <c r="N324" s="59">
        <f t="shared" si="507"/>
        <v>0</v>
      </c>
      <c r="O324" s="59">
        <f t="shared" si="507"/>
        <v>0</v>
      </c>
      <c r="P324" s="59">
        <f t="shared" si="507"/>
        <v>0</v>
      </c>
      <c r="Q324" s="59">
        <f t="shared" si="507"/>
        <v>0</v>
      </c>
      <c r="R324" s="59">
        <f t="shared" si="507"/>
        <v>0</v>
      </c>
      <c r="S324" s="59">
        <f t="shared" si="507"/>
        <v>0</v>
      </c>
      <c r="T324" s="59">
        <f t="shared" si="507"/>
        <v>0</v>
      </c>
      <c r="U324" s="59">
        <f t="shared" si="507"/>
        <v>0</v>
      </c>
      <c r="V324" s="59">
        <f t="shared" si="507"/>
        <v>0</v>
      </c>
      <c r="W324" s="59">
        <f t="shared" si="507"/>
        <v>0</v>
      </c>
      <c r="X324" s="59">
        <f t="shared" si="507"/>
        <v>0</v>
      </c>
      <c r="Y324" s="76"/>
    </row>
    <row r="325" spans="1:25" s="3" customFormat="1" ht="108.75" customHeight="1">
      <c r="A325" s="80"/>
      <c r="B325" s="49" t="s">
        <v>276</v>
      </c>
      <c r="C325" s="81"/>
      <c r="D325" s="43">
        <f t="shared" ref="D325:D326" si="508">E325+J325+N325+O325+SUM(R325:V325)</f>
        <v>75</v>
      </c>
      <c r="E325" s="44">
        <f t="shared" ref="E325:E326" si="509">SUM(F325:I325)</f>
        <v>75</v>
      </c>
      <c r="F325" s="47"/>
      <c r="G325" s="48"/>
      <c r="H325" s="48">
        <v>75</v>
      </c>
      <c r="I325" s="48"/>
      <c r="J325" s="44">
        <f t="shared" ref="J325:J326" si="510">SUM(K325:M325)</f>
        <v>0</v>
      </c>
      <c r="K325" s="48"/>
      <c r="L325" s="48"/>
      <c r="M325" s="48"/>
      <c r="N325" s="48"/>
      <c r="O325" s="44">
        <f t="shared" ref="O325:O326" si="511">SUM(P325:Q325)</f>
        <v>0</v>
      </c>
      <c r="P325" s="48"/>
      <c r="Q325" s="48"/>
      <c r="R325" s="48"/>
      <c r="S325" s="48"/>
      <c r="T325" s="48"/>
      <c r="U325" s="48"/>
      <c r="V325" s="44">
        <f t="shared" ref="V325:V326" si="512">SUM(W325:X325)</f>
        <v>0</v>
      </c>
      <c r="W325" s="48"/>
      <c r="X325" s="48"/>
      <c r="Y325" s="49" t="s">
        <v>277</v>
      </c>
    </row>
    <row r="326" spans="1:25" s="3" customFormat="1" ht="15.75" hidden="1">
      <c r="A326" s="80"/>
      <c r="B326" s="42"/>
      <c r="C326" s="81"/>
      <c r="D326" s="43">
        <f t="shared" si="508"/>
        <v>0</v>
      </c>
      <c r="E326" s="44">
        <f t="shared" si="509"/>
        <v>0</v>
      </c>
      <c r="F326" s="47"/>
      <c r="G326" s="48"/>
      <c r="H326" s="48"/>
      <c r="I326" s="48"/>
      <c r="J326" s="44">
        <f t="shared" si="510"/>
        <v>0</v>
      </c>
      <c r="K326" s="48"/>
      <c r="L326" s="48"/>
      <c r="M326" s="48"/>
      <c r="N326" s="48"/>
      <c r="O326" s="44">
        <f t="shared" si="511"/>
        <v>0</v>
      </c>
      <c r="P326" s="48"/>
      <c r="Q326" s="48"/>
      <c r="R326" s="48"/>
      <c r="S326" s="48"/>
      <c r="T326" s="48"/>
      <c r="U326" s="48"/>
      <c r="V326" s="44">
        <f t="shared" si="512"/>
        <v>0</v>
      </c>
      <c r="W326" s="48"/>
      <c r="X326" s="48"/>
      <c r="Y326" s="80"/>
    </row>
    <row r="327" spans="1:25" s="32" customFormat="1" ht="24" customHeight="1">
      <c r="A327" s="31" t="s">
        <v>278</v>
      </c>
      <c r="B327" s="31" t="s">
        <v>279</v>
      </c>
      <c r="C327" s="28"/>
      <c r="D327" s="29">
        <f>D328</f>
        <v>160</v>
      </c>
      <c r="E327" s="29">
        <f t="shared" ref="E327:X328" si="513">E328</f>
        <v>160</v>
      </c>
      <c r="F327" s="30">
        <f t="shared" si="513"/>
        <v>0</v>
      </c>
      <c r="G327" s="29">
        <f t="shared" si="513"/>
        <v>0</v>
      </c>
      <c r="H327" s="29">
        <f t="shared" si="513"/>
        <v>160</v>
      </c>
      <c r="I327" s="29">
        <f t="shared" si="513"/>
        <v>0</v>
      </c>
      <c r="J327" s="29">
        <f t="shared" si="513"/>
        <v>0</v>
      </c>
      <c r="K327" s="29">
        <f t="shared" si="513"/>
        <v>0</v>
      </c>
      <c r="L327" s="29">
        <f t="shared" si="513"/>
        <v>0</v>
      </c>
      <c r="M327" s="29">
        <f t="shared" si="513"/>
        <v>0</v>
      </c>
      <c r="N327" s="29">
        <f t="shared" si="513"/>
        <v>0</v>
      </c>
      <c r="O327" s="29">
        <f t="shared" si="513"/>
        <v>0</v>
      </c>
      <c r="P327" s="29">
        <f t="shared" si="513"/>
        <v>0</v>
      </c>
      <c r="Q327" s="29">
        <f t="shared" si="513"/>
        <v>0</v>
      </c>
      <c r="R327" s="29">
        <f t="shared" si="513"/>
        <v>0</v>
      </c>
      <c r="S327" s="29">
        <f t="shared" si="513"/>
        <v>0</v>
      </c>
      <c r="T327" s="29">
        <f t="shared" si="513"/>
        <v>0</v>
      </c>
      <c r="U327" s="29">
        <f t="shared" si="513"/>
        <v>0</v>
      </c>
      <c r="V327" s="29">
        <f t="shared" si="513"/>
        <v>0</v>
      </c>
      <c r="W327" s="29">
        <f t="shared" si="513"/>
        <v>0</v>
      </c>
      <c r="X327" s="29">
        <f t="shared" si="513"/>
        <v>0</v>
      </c>
      <c r="Y327" s="31"/>
    </row>
    <row r="328" spans="1:25" s="75" customFormat="1" ht="21.75" customHeight="1">
      <c r="A328" s="71"/>
      <c r="B328" s="71" t="s">
        <v>223</v>
      </c>
      <c r="C328" s="72" t="s">
        <v>176</v>
      </c>
      <c r="D328" s="73">
        <f>D329</f>
        <v>160</v>
      </c>
      <c r="E328" s="73">
        <f t="shared" si="513"/>
        <v>160</v>
      </c>
      <c r="F328" s="74">
        <f t="shared" si="513"/>
        <v>0</v>
      </c>
      <c r="G328" s="73">
        <f t="shared" si="513"/>
        <v>0</v>
      </c>
      <c r="H328" s="73">
        <f t="shared" si="513"/>
        <v>160</v>
      </c>
      <c r="I328" s="73">
        <f t="shared" si="513"/>
        <v>0</v>
      </c>
      <c r="J328" s="73">
        <f t="shared" si="513"/>
        <v>0</v>
      </c>
      <c r="K328" s="73">
        <f t="shared" si="513"/>
        <v>0</v>
      </c>
      <c r="L328" s="73">
        <f t="shared" si="513"/>
        <v>0</v>
      </c>
      <c r="M328" s="73">
        <f t="shared" si="513"/>
        <v>0</v>
      </c>
      <c r="N328" s="73">
        <f t="shared" si="513"/>
        <v>0</v>
      </c>
      <c r="O328" s="73">
        <f t="shared" si="513"/>
        <v>0</v>
      </c>
      <c r="P328" s="73">
        <f t="shared" si="513"/>
        <v>0</v>
      </c>
      <c r="Q328" s="73">
        <f t="shared" si="513"/>
        <v>0</v>
      </c>
      <c r="R328" s="73">
        <f t="shared" si="513"/>
        <v>0</v>
      </c>
      <c r="S328" s="73">
        <f t="shared" si="513"/>
        <v>0</v>
      </c>
      <c r="T328" s="73">
        <f t="shared" si="513"/>
        <v>0</v>
      </c>
      <c r="U328" s="73">
        <f t="shared" si="513"/>
        <v>0</v>
      </c>
      <c r="V328" s="73">
        <f t="shared" si="513"/>
        <v>0</v>
      </c>
      <c r="W328" s="73">
        <f t="shared" si="513"/>
        <v>0</v>
      </c>
      <c r="X328" s="73">
        <f t="shared" si="513"/>
        <v>0</v>
      </c>
      <c r="Y328" s="71"/>
    </row>
    <row r="329" spans="1:25" s="79" customFormat="1" ht="59.25" customHeight="1">
      <c r="A329" s="76"/>
      <c r="B329" s="77" t="s">
        <v>189</v>
      </c>
      <c r="C329" s="78" t="s">
        <v>190</v>
      </c>
      <c r="D329" s="59">
        <f>SUM(D330:D331)</f>
        <v>160</v>
      </c>
      <c r="E329" s="59">
        <f t="shared" ref="E329:X329" si="514">SUM(E330:E331)</f>
        <v>160</v>
      </c>
      <c r="F329" s="60">
        <f t="shared" si="514"/>
        <v>0</v>
      </c>
      <c r="G329" s="59">
        <f t="shared" si="514"/>
        <v>0</v>
      </c>
      <c r="H329" s="59">
        <f t="shared" si="514"/>
        <v>160</v>
      </c>
      <c r="I329" s="59">
        <f t="shared" si="514"/>
        <v>0</v>
      </c>
      <c r="J329" s="59">
        <f t="shared" si="514"/>
        <v>0</v>
      </c>
      <c r="K329" s="59">
        <f t="shared" si="514"/>
        <v>0</v>
      </c>
      <c r="L329" s="59">
        <f t="shared" si="514"/>
        <v>0</v>
      </c>
      <c r="M329" s="59">
        <f t="shared" si="514"/>
        <v>0</v>
      </c>
      <c r="N329" s="59">
        <f t="shared" si="514"/>
        <v>0</v>
      </c>
      <c r="O329" s="59">
        <f t="shared" si="514"/>
        <v>0</v>
      </c>
      <c r="P329" s="59">
        <f t="shared" si="514"/>
        <v>0</v>
      </c>
      <c r="Q329" s="59">
        <f t="shared" si="514"/>
        <v>0</v>
      </c>
      <c r="R329" s="59">
        <f t="shared" si="514"/>
        <v>0</v>
      </c>
      <c r="S329" s="59">
        <f t="shared" si="514"/>
        <v>0</v>
      </c>
      <c r="T329" s="59">
        <f t="shared" si="514"/>
        <v>0</v>
      </c>
      <c r="U329" s="59">
        <f t="shared" si="514"/>
        <v>0</v>
      </c>
      <c r="V329" s="59">
        <f t="shared" si="514"/>
        <v>0</v>
      </c>
      <c r="W329" s="59">
        <f t="shared" si="514"/>
        <v>0</v>
      </c>
      <c r="X329" s="59">
        <f t="shared" si="514"/>
        <v>0</v>
      </c>
      <c r="Y329" s="76"/>
    </row>
    <row r="330" spans="1:25" s="3" customFormat="1" ht="31.5">
      <c r="A330" s="80"/>
      <c r="B330" s="49" t="s">
        <v>280</v>
      </c>
      <c r="C330" s="81"/>
      <c r="D330" s="43">
        <f t="shared" ref="D330:D331" si="515">E330+J330+N330+O330+SUM(R330:V330)</f>
        <v>70</v>
      </c>
      <c r="E330" s="44">
        <f t="shared" ref="E330:E331" si="516">SUM(F330:I330)</f>
        <v>70</v>
      </c>
      <c r="F330" s="47"/>
      <c r="G330" s="48"/>
      <c r="H330" s="48">
        <v>70</v>
      </c>
      <c r="I330" s="48"/>
      <c r="J330" s="44">
        <f t="shared" ref="J330:J331" si="517">SUM(K330:M330)</f>
        <v>0</v>
      </c>
      <c r="K330" s="48"/>
      <c r="L330" s="48"/>
      <c r="M330" s="48"/>
      <c r="N330" s="48"/>
      <c r="O330" s="44">
        <f t="shared" ref="O330:O331" si="518">SUM(P330:Q330)</f>
        <v>0</v>
      </c>
      <c r="P330" s="48"/>
      <c r="Q330" s="48"/>
      <c r="R330" s="48"/>
      <c r="S330" s="48"/>
      <c r="T330" s="48"/>
      <c r="U330" s="48"/>
      <c r="V330" s="44">
        <f t="shared" ref="V330:V331" si="519">SUM(W330:X330)</f>
        <v>0</v>
      </c>
      <c r="W330" s="48"/>
      <c r="X330" s="48"/>
      <c r="Y330" s="49" t="s">
        <v>281</v>
      </c>
    </row>
    <row r="331" spans="1:25" s="3" customFormat="1" ht="63">
      <c r="A331" s="80"/>
      <c r="B331" s="42" t="s">
        <v>282</v>
      </c>
      <c r="C331" s="81"/>
      <c r="D331" s="43">
        <f t="shared" si="515"/>
        <v>90</v>
      </c>
      <c r="E331" s="44">
        <f t="shared" si="516"/>
        <v>90</v>
      </c>
      <c r="F331" s="47"/>
      <c r="G331" s="48"/>
      <c r="H331" s="48">
        <v>90</v>
      </c>
      <c r="I331" s="48"/>
      <c r="J331" s="44">
        <f t="shared" si="517"/>
        <v>0</v>
      </c>
      <c r="K331" s="48"/>
      <c r="L331" s="48"/>
      <c r="M331" s="48"/>
      <c r="N331" s="48"/>
      <c r="O331" s="44">
        <f t="shared" si="518"/>
        <v>0</v>
      </c>
      <c r="P331" s="48"/>
      <c r="Q331" s="48"/>
      <c r="R331" s="48"/>
      <c r="S331" s="48"/>
      <c r="T331" s="48"/>
      <c r="U331" s="48"/>
      <c r="V331" s="44">
        <f t="shared" si="519"/>
        <v>0</v>
      </c>
      <c r="W331" s="48"/>
      <c r="X331" s="48"/>
      <c r="Y331" s="42" t="s">
        <v>283</v>
      </c>
    </row>
    <row r="332" spans="1:25" s="32" customFormat="1" ht="23.25" customHeight="1">
      <c r="A332" s="31" t="s">
        <v>284</v>
      </c>
      <c r="B332" s="31" t="s">
        <v>285</v>
      </c>
      <c r="C332" s="28"/>
      <c r="D332" s="29">
        <f>D333</f>
        <v>50</v>
      </c>
      <c r="E332" s="29">
        <f t="shared" ref="E332:X333" si="520">E333</f>
        <v>50</v>
      </c>
      <c r="F332" s="30">
        <f t="shared" si="520"/>
        <v>0</v>
      </c>
      <c r="G332" s="29">
        <f t="shared" si="520"/>
        <v>0</v>
      </c>
      <c r="H332" s="29">
        <f t="shared" si="520"/>
        <v>50</v>
      </c>
      <c r="I332" s="29">
        <f t="shared" si="520"/>
        <v>0</v>
      </c>
      <c r="J332" s="29">
        <f t="shared" si="520"/>
        <v>0</v>
      </c>
      <c r="K332" s="29">
        <f t="shared" si="520"/>
        <v>0</v>
      </c>
      <c r="L332" s="29">
        <f t="shared" si="520"/>
        <v>0</v>
      </c>
      <c r="M332" s="29">
        <f t="shared" si="520"/>
        <v>0</v>
      </c>
      <c r="N332" s="29">
        <f t="shared" si="520"/>
        <v>0</v>
      </c>
      <c r="O332" s="29">
        <f t="shared" si="520"/>
        <v>0</v>
      </c>
      <c r="P332" s="29">
        <f t="shared" si="520"/>
        <v>0</v>
      </c>
      <c r="Q332" s="29">
        <f t="shared" si="520"/>
        <v>0</v>
      </c>
      <c r="R332" s="29">
        <f t="shared" si="520"/>
        <v>0</v>
      </c>
      <c r="S332" s="29">
        <f t="shared" si="520"/>
        <v>0</v>
      </c>
      <c r="T332" s="29">
        <f t="shared" si="520"/>
        <v>0</v>
      </c>
      <c r="U332" s="29">
        <f t="shared" si="520"/>
        <v>0</v>
      </c>
      <c r="V332" s="29">
        <f t="shared" si="520"/>
        <v>0</v>
      </c>
      <c r="W332" s="29">
        <f t="shared" si="520"/>
        <v>0</v>
      </c>
      <c r="X332" s="29">
        <f t="shared" si="520"/>
        <v>0</v>
      </c>
      <c r="Y332" s="31"/>
    </row>
    <row r="333" spans="1:25" s="75" customFormat="1" ht="24" customHeight="1">
      <c r="A333" s="71"/>
      <c r="B333" s="71" t="s">
        <v>223</v>
      </c>
      <c r="C333" s="72" t="s">
        <v>176</v>
      </c>
      <c r="D333" s="73">
        <f>D334</f>
        <v>50</v>
      </c>
      <c r="E333" s="73">
        <f t="shared" si="520"/>
        <v>50</v>
      </c>
      <c r="F333" s="74">
        <f t="shared" si="520"/>
        <v>0</v>
      </c>
      <c r="G333" s="73">
        <f t="shared" si="520"/>
        <v>0</v>
      </c>
      <c r="H333" s="73">
        <f t="shared" si="520"/>
        <v>50</v>
      </c>
      <c r="I333" s="73">
        <f t="shared" si="520"/>
        <v>0</v>
      </c>
      <c r="J333" s="73">
        <f t="shared" si="520"/>
        <v>0</v>
      </c>
      <c r="K333" s="73">
        <f t="shared" si="520"/>
        <v>0</v>
      </c>
      <c r="L333" s="73">
        <f t="shared" si="520"/>
        <v>0</v>
      </c>
      <c r="M333" s="73">
        <f t="shared" si="520"/>
        <v>0</v>
      </c>
      <c r="N333" s="73">
        <f t="shared" si="520"/>
        <v>0</v>
      </c>
      <c r="O333" s="73">
        <f t="shared" si="520"/>
        <v>0</v>
      </c>
      <c r="P333" s="73">
        <f t="shared" si="520"/>
        <v>0</v>
      </c>
      <c r="Q333" s="73">
        <f t="shared" si="520"/>
        <v>0</v>
      </c>
      <c r="R333" s="73">
        <f t="shared" si="520"/>
        <v>0</v>
      </c>
      <c r="S333" s="73">
        <f t="shared" si="520"/>
        <v>0</v>
      </c>
      <c r="T333" s="73">
        <f t="shared" si="520"/>
        <v>0</v>
      </c>
      <c r="U333" s="73">
        <f t="shared" si="520"/>
        <v>0</v>
      </c>
      <c r="V333" s="73">
        <f t="shared" si="520"/>
        <v>0</v>
      </c>
      <c r="W333" s="73">
        <f t="shared" si="520"/>
        <v>0</v>
      </c>
      <c r="X333" s="73">
        <f t="shared" si="520"/>
        <v>0</v>
      </c>
      <c r="Y333" s="71"/>
    </row>
    <row r="334" spans="1:25" s="79" customFormat="1" ht="63.75" customHeight="1">
      <c r="A334" s="76"/>
      <c r="B334" s="77" t="s">
        <v>189</v>
      </c>
      <c r="C334" s="78" t="s">
        <v>190</v>
      </c>
      <c r="D334" s="59">
        <f>SUM(D335:D336)</f>
        <v>50</v>
      </c>
      <c r="E334" s="59">
        <f t="shared" ref="E334:X334" si="521">SUM(E335:E336)</f>
        <v>50</v>
      </c>
      <c r="F334" s="60">
        <f t="shared" si="521"/>
        <v>0</v>
      </c>
      <c r="G334" s="59">
        <f t="shared" si="521"/>
        <v>0</v>
      </c>
      <c r="H334" s="59">
        <f t="shared" si="521"/>
        <v>50</v>
      </c>
      <c r="I334" s="59">
        <f t="shared" si="521"/>
        <v>0</v>
      </c>
      <c r="J334" s="59">
        <f t="shared" si="521"/>
        <v>0</v>
      </c>
      <c r="K334" s="59">
        <f t="shared" si="521"/>
        <v>0</v>
      </c>
      <c r="L334" s="59">
        <f t="shared" si="521"/>
        <v>0</v>
      </c>
      <c r="M334" s="59">
        <f t="shared" si="521"/>
        <v>0</v>
      </c>
      <c r="N334" s="59">
        <f t="shared" si="521"/>
        <v>0</v>
      </c>
      <c r="O334" s="59">
        <f t="shared" si="521"/>
        <v>0</v>
      </c>
      <c r="P334" s="59">
        <f t="shared" si="521"/>
        <v>0</v>
      </c>
      <c r="Q334" s="59">
        <f t="shared" si="521"/>
        <v>0</v>
      </c>
      <c r="R334" s="59">
        <f t="shared" si="521"/>
        <v>0</v>
      </c>
      <c r="S334" s="59">
        <f t="shared" si="521"/>
        <v>0</v>
      </c>
      <c r="T334" s="59">
        <f t="shared" si="521"/>
        <v>0</v>
      </c>
      <c r="U334" s="59">
        <f t="shared" si="521"/>
        <v>0</v>
      </c>
      <c r="V334" s="59">
        <f t="shared" si="521"/>
        <v>0</v>
      </c>
      <c r="W334" s="59">
        <f t="shared" si="521"/>
        <v>0</v>
      </c>
      <c r="X334" s="59">
        <f t="shared" si="521"/>
        <v>0</v>
      </c>
      <c r="Y334" s="76"/>
    </row>
    <row r="335" spans="1:25" s="3" customFormat="1" ht="99" customHeight="1">
      <c r="A335" s="80"/>
      <c r="B335" s="49" t="s">
        <v>286</v>
      </c>
      <c r="C335" s="81"/>
      <c r="D335" s="43">
        <f t="shared" ref="D335:D336" si="522">E335+J335+N335+O335+SUM(R335:V335)</f>
        <v>50</v>
      </c>
      <c r="E335" s="44">
        <f t="shared" ref="E335:E336" si="523">SUM(F335:I335)</f>
        <v>50</v>
      </c>
      <c r="F335" s="47"/>
      <c r="G335" s="48"/>
      <c r="H335" s="48">
        <v>50</v>
      </c>
      <c r="I335" s="48"/>
      <c r="J335" s="44">
        <f t="shared" ref="J335:J336" si="524">SUM(K335:M335)</f>
        <v>0</v>
      </c>
      <c r="K335" s="48"/>
      <c r="L335" s="48"/>
      <c r="M335" s="48"/>
      <c r="N335" s="48"/>
      <c r="O335" s="44">
        <f t="shared" ref="O335:O336" si="525">SUM(P335:Q335)</f>
        <v>0</v>
      </c>
      <c r="P335" s="48"/>
      <c r="Q335" s="48"/>
      <c r="R335" s="48"/>
      <c r="S335" s="48"/>
      <c r="T335" s="48"/>
      <c r="U335" s="48"/>
      <c r="V335" s="44">
        <f t="shared" ref="V335:V336" si="526">SUM(W335:X335)</f>
        <v>0</v>
      </c>
      <c r="W335" s="48"/>
      <c r="X335" s="48"/>
      <c r="Y335" s="49"/>
    </row>
    <row r="336" spans="1:25" s="3" customFormat="1" ht="15.75" hidden="1">
      <c r="A336" s="80"/>
      <c r="B336" s="42"/>
      <c r="C336" s="81"/>
      <c r="D336" s="43">
        <f t="shared" si="522"/>
        <v>0</v>
      </c>
      <c r="E336" s="44">
        <f t="shared" si="523"/>
        <v>0</v>
      </c>
      <c r="F336" s="47"/>
      <c r="G336" s="48"/>
      <c r="H336" s="48"/>
      <c r="I336" s="48"/>
      <c r="J336" s="44">
        <f t="shared" si="524"/>
        <v>0</v>
      </c>
      <c r="K336" s="48"/>
      <c r="L336" s="48"/>
      <c r="M336" s="48"/>
      <c r="N336" s="48"/>
      <c r="O336" s="44">
        <f t="shared" si="525"/>
        <v>0</v>
      </c>
      <c r="P336" s="48"/>
      <c r="Q336" s="48"/>
      <c r="R336" s="48"/>
      <c r="S336" s="48"/>
      <c r="T336" s="48"/>
      <c r="U336" s="48"/>
      <c r="V336" s="44">
        <f t="shared" si="526"/>
        <v>0</v>
      </c>
      <c r="W336" s="48"/>
      <c r="X336" s="48"/>
      <c r="Y336" s="42"/>
    </row>
    <row r="337" spans="1:25" s="32" customFormat="1" ht="27" customHeight="1">
      <c r="A337" s="31" t="s">
        <v>287</v>
      </c>
      <c r="B337" s="31" t="s">
        <v>288</v>
      </c>
      <c r="C337" s="28"/>
      <c r="D337" s="29">
        <f>D338</f>
        <v>50</v>
      </c>
      <c r="E337" s="29">
        <f t="shared" ref="E337:X338" si="527">E338</f>
        <v>50</v>
      </c>
      <c r="F337" s="30">
        <f t="shared" si="527"/>
        <v>0</v>
      </c>
      <c r="G337" s="29">
        <f t="shared" si="527"/>
        <v>0</v>
      </c>
      <c r="H337" s="29">
        <f t="shared" si="527"/>
        <v>0</v>
      </c>
      <c r="I337" s="29">
        <f t="shared" si="527"/>
        <v>50</v>
      </c>
      <c r="J337" s="29">
        <f t="shared" si="527"/>
        <v>0</v>
      </c>
      <c r="K337" s="29">
        <f t="shared" si="527"/>
        <v>0</v>
      </c>
      <c r="L337" s="29">
        <f t="shared" si="527"/>
        <v>0</v>
      </c>
      <c r="M337" s="29">
        <f t="shared" si="527"/>
        <v>0</v>
      </c>
      <c r="N337" s="29">
        <f t="shared" si="527"/>
        <v>0</v>
      </c>
      <c r="O337" s="29">
        <f t="shared" si="527"/>
        <v>0</v>
      </c>
      <c r="P337" s="29">
        <f t="shared" si="527"/>
        <v>0</v>
      </c>
      <c r="Q337" s="29">
        <f t="shared" si="527"/>
        <v>0</v>
      </c>
      <c r="R337" s="29">
        <f t="shared" si="527"/>
        <v>0</v>
      </c>
      <c r="S337" s="29">
        <f t="shared" si="527"/>
        <v>0</v>
      </c>
      <c r="T337" s="29">
        <f t="shared" si="527"/>
        <v>0</v>
      </c>
      <c r="U337" s="29">
        <f t="shared" si="527"/>
        <v>0</v>
      </c>
      <c r="V337" s="29">
        <f t="shared" si="527"/>
        <v>0</v>
      </c>
      <c r="W337" s="29">
        <f t="shared" si="527"/>
        <v>0</v>
      </c>
      <c r="X337" s="29">
        <f t="shared" si="527"/>
        <v>0</v>
      </c>
      <c r="Y337" s="31"/>
    </row>
    <row r="338" spans="1:25" s="75" customFormat="1" ht="21.75" customHeight="1">
      <c r="A338" s="71"/>
      <c r="B338" s="71" t="s">
        <v>223</v>
      </c>
      <c r="C338" s="72" t="s">
        <v>176</v>
      </c>
      <c r="D338" s="73">
        <f>D339</f>
        <v>50</v>
      </c>
      <c r="E338" s="73">
        <f t="shared" si="527"/>
        <v>50</v>
      </c>
      <c r="F338" s="74">
        <f t="shared" si="527"/>
        <v>0</v>
      </c>
      <c r="G338" s="73">
        <f t="shared" si="527"/>
        <v>0</v>
      </c>
      <c r="H338" s="73">
        <f t="shared" si="527"/>
        <v>0</v>
      </c>
      <c r="I338" s="73">
        <f t="shared" si="527"/>
        <v>50</v>
      </c>
      <c r="J338" s="73">
        <f t="shared" si="527"/>
        <v>0</v>
      </c>
      <c r="K338" s="73">
        <f t="shared" si="527"/>
        <v>0</v>
      </c>
      <c r="L338" s="73">
        <f t="shared" si="527"/>
        <v>0</v>
      </c>
      <c r="M338" s="73">
        <f t="shared" si="527"/>
        <v>0</v>
      </c>
      <c r="N338" s="73">
        <f t="shared" si="527"/>
        <v>0</v>
      </c>
      <c r="O338" s="73">
        <f t="shared" si="527"/>
        <v>0</v>
      </c>
      <c r="P338" s="73">
        <f t="shared" si="527"/>
        <v>0</v>
      </c>
      <c r="Q338" s="73">
        <f t="shared" si="527"/>
        <v>0</v>
      </c>
      <c r="R338" s="73">
        <f t="shared" si="527"/>
        <v>0</v>
      </c>
      <c r="S338" s="73">
        <f t="shared" si="527"/>
        <v>0</v>
      </c>
      <c r="T338" s="73">
        <f t="shared" si="527"/>
        <v>0</v>
      </c>
      <c r="U338" s="73">
        <f t="shared" si="527"/>
        <v>0</v>
      </c>
      <c r="V338" s="73">
        <f t="shared" si="527"/>
        <v>0</v>
      </c>
      <c r="W338" s="73">
        <f t="shared" si="527"/>
        <v>0</v>
      </c>
      <c r="X338" s="73">
        <f t="shared" si="527"/>
        <v>0</v>
      </c>
      <c r="Y338" s="71"/>
    </row>
    <row r="339" spans="1:25" s="79" customFormat="1" ht="80.25" customHeight="1">
      <c r="A339" s="76"/>
      <c r="B339" s="77" t="s">
        <v>191</v>
      </c>
      <c r="C339" s="78" t="s">
        <v>192</v>
      </c>
      <c r="D339" s="59">
        <f>SUM(D340:D341)</f>
        <v>50</v>
      </c>
      <c r="E339" s="59">
        <f t="shared" ref="E339:X339" si="528">SUM(E340:E341)</f>
        <v>50</v>
      </c>
      <c r="F339" s="60">
        <f t="shared" si="528"/>
        <v>0</v>
      </c>
      <c r="G339" s="59">
        <f t="shared" si="528"/>
        <v>0</v>
      </c>
      <c r="H339" s="59">
        <f t="shared" si="528"/>
        <v>0</v>
      </c>
      <c r="I339" s="59">
        <f t="shared" si="528"/>
        <v>50</v>
      </c>
      <c r="J339" s="59">
        <f t="shared" si="528"/>
        <v>0</v>
      </c>
      <c r="K339" s="59">
        <f t="shared" si="528"/>
        <v>0</v>
      </c>
      <c r="L339" s="59">
        <f t="shared" si="528"/>
        <v>0</v>
      </c>
      <c r="M339" s="59">
        <f t="shared" si="528"/>
        <v>0</v>
      </c>
      <c r="N339" s="59">
        <f t="shared" si="528"/>
        <v>0</v>
      </c>
      <c r="O339" s="59">
        <f t="shared" si="528"/>
        <v>0</v>
      </c>
      <c r="P339" s="59">
        <f t="shared" si="528"/>
        <v>0</v>
      </c>
      <c r="Q339" s="59">
        <f t="shared" si="528"/>
        <v>0</v>
      </c>
      <c r="R339" s="59">
        <f t="shared" si="528"/>
        <v>0</v>
      </c>
      <c r="S339" s="59">
        <f t="shared" si="528"/>
        <v>0</v>
      </c>
      <c r="T339" s="59">
        <f t="shared" si="528"/>
        <v>0</v>
      </c>
      <c r="U339" s="59">
        <f t="shared" si="528"/>
        <v>0</v>
      </c>
      <c r="V339" s="59">
        <f t="shared" si="528"/>
        <v>0</v>
      </c>
      <c r="W339" s="59">
        <f t="shared" si="528"/>
        <v>0</v>
      </c>
      <c r="X339" s="59">
        <f t="shared" si="528"/>
        <v>0</v>
      </c>
      <c r="Y339" s="76"/>
    </row>
    <row r="340" spans="1:25" s="3" customFormat="1" ht="69.75" customHeight="1">
      <c r="A340" s="80"/>
      <c r="B340" s="49" t="s">
        <v>234</v>
      </c>
      <c r="C340" s="81"/>
      <c r="D340" s="43">
        <f t="shared" ref="D340:D341" si="529">E340+J340+N340+O340+SUM(R340:V340)</f>
        <v>50</v>
      </c>
      <c r="E340" s="44">
        <f t="shared" ref="E340:E341" si="530">SUM(F340:I340)</f>
        <v>50</v>
      </c>
      <c r="F340" s="47"/>
      <c r="G340" s="48"/>
      <c r="H340" s="48"/>
      <c r="I340" s="48">
        <v>50</v>
      </c>
      <c r="J340" s="44">
        <f t="shared" ref="J340:J341" si="531">SUM(K340:M340)</f>
        <v>0</v>
      </c>
      <c r="K340" s="48"/>
      <c r="L340" s="48"/>
      <c r="M340" s="48"/>
      <c r="N340" s="48"/>
      <c r="O340" s="44">
        <f t="shared" ref="O340:O341" si="532">SUM(P340:Q340)</f>
        <v>0</v>
      </c>
      <c r="P340" s="48"/>
      <c r="Q340" s="48"/>
      <c r="R340" s="48"/>
      <c r="S340" s="48"/>
      <c r="T340" s="48"/>
      <c r="U340" s="48"/>
      <c r="V340" s="44">
        <f t="shared" ref="V340:V341" si="533">SUM(W340:X340)</f>
        <v>0</v>
      </c>
      <c r="W340" s="48"/>
      <c r="X340" s="48"/>
      <c r="Y340" s="49" t="s">
        <v>289</v>
      </c>
    </row>
    <row r="341" spans="1:25" s="3" customFormat="1" ht="15.75" hidden="1">
      <c r="A341" s="80"/>
      <c r="B341" s="42"/>
      <c r="C341" s="81"/>
      <c r="D341" s="43">
        <f t="shared" si="529"/>
        <v>0</v>
      </c>
      <c r="E341" s="44">
        <f t="shared" si="530"/>
        <v>0</v>
      </c>
      <c r="F341" s="47"/>
      <c r="G341" s="48"/>
      <c r="H341" s="48"/>
      <c r="I341" s="48"/>
      <c r="J341" s="44">
        <f t="shared" si="531"/>
        <v>0</v>
      </c>
      <c r="K341" s="48"/>
      <c r="L341" s="48"/>
      <c r="M341" s="48"/>
      <c r="N341" s="48"/>
      <c r="O341" s="44">
        <f t="shared" si="532"/>
        <v>0</v>
      </c>
      <c r="P341" s="48"/>
      <c r="Q341" s="48"/>
      <c r="R341" s="48"/>
      <c r="S341" s="48"/>
      <c r="T341" s="48"/>
      <c r="U341" s="48"/>
      <c r="V341" s="44">
        <f t="shared" si="533"/>
        <v>0</v>
      </c>
      <c r="W341" s="48"/>
      <c r="X341" s="48"/>
      <c r="Y341" s="42"/>
    </row>
    <row r="342" spans="1:25" s="32" customFormat="1" ht="25.5" customHeight="1">
      <c r="A342" s="31" t="s">
        <v>290</v>
      </c>
      <c r="B342" s="31" t="s">
        <v>291</v>
      </c>
      <c r="C342" s="28"/>
      <c r="D342" s="29">
        <f>D343</f>
        <v>50</v>
      </c>
      <c r="E342" s="29">
        <f t="shared" ref="E342:X343" si="534">E343</f>
        <v>0</v>
      </c>
      <c r="F342" s="30">
        <f t="shared" si="534"/>
        <v>0</v>
      </c>
      <c r="G342" s="29">
        <f t="shared" si="534"/>
        <v>0</v>
      </c>
      <c r="H342" s="29">
        <f t="shared" si="534"/>
        <v>0</v>
      </c>
      <c r="I342" s="29">
        <f t="shared" si="534"/>
        <v>0</v>
      </c>
      <c r="J342" s="29">
        <f t="shared" si="534"/>
        <v>0</v>
      </c>
      <c r="K342" s="29">
        <f t="shared" si="534"/>
        <v>0</v>
      </c>
      <c r="L342" s="29">
        <f t="shared" si="534"/>
        <v>0</v>
      </c>
      <c r="M342" s="29">
        <f t="shared" si="534"/>
        <v>0</v>
      </c>
      <c r="N342" s="29">
        <f t="shared" si="534"/>
        <v>0</v>
      </c>
      <c r="O342" s="29">
        <f t="shared" si="534"/>
        <v>0</v>
      </c>
      <c r="P342" s="29">
        <f t="shared" si="534"/>
        <v>0</v>
      </c>
      <c r="Q342" s="29">
        <f t="shared" si="534"/>
        <v>0</v>
      </c>
      <c r="R342" s="29">
        <f t="shared" si="534"/>
        <v>0</v>
      </c>
      <c r="S342" s="29">
        <f t="shared" si="534"/>
        <v>50</v>
      </c>
      <c r="T342" s="29">
        <f t="shared" si="534"/>
        <v>0</v>
      </c>
      <c r="U342" s="29">
        <f t="shared" si="534"/>
        <v>0</v>
      </c>
      <c r="V342" s="29">
        <f t="shared" si="534"/>
        <v>0</v>
      </c>
      <c r="W342" s="29">
        <f t="shared" si="534"/>
        <v>0</v>
      </c>
      <c r="X342" s="29">
        <f t="shared" si="534"/>
        <v>0</v>
      </c>
      <c r="Y342" s="31"/>
    </row>
    <row r="343" spans="1:25" s="75" customFormat="1" ht="21" customHeight="1">
      <c r="A343" s="71"/>
      <c r="B343" s="71" t="s">
        <v>223</v>
      </c>
      <c r="C343" s="72" t="s">
        <v>176</v>
      </c>
      <c r="D343" s="73">
        <f>D344</f>
        <v>50</v>
      </c>
      <c r="E343" s="73">
        <f t="shared" si="534"/>
        <v>0</v>
      </c>
      <c r="F343" s="74">
        <f t="shared" si="534"/>
        <v>0</v>
      </c>
      <c r="G343" s="73">
        <f t="shared" si="534"/>
        <v>0</v>
      </c>
      <c r="H343" s="73">
        <f t="shared" si="534"/>
        <v>0</v>
      </c>
      <c r="I343" s="73">
        <f t="shared" si="534"/>
        <v>0</v>
      </c>
      <c r="J343" s="73">
        <f t="shared" si="534"/>
        <v>0</v>
      </c>
      <c r="K343" s="73">
        <f t="shared" si="534"/>
        <v>0</v>
      </c>
      <c r="L343" s="73">
        <f t="shared" si="534"/>
        <v>0</v>
      </c>
      <c r="M343" s="73">
        <f t="shared" si="534"/>
        <v>0</v>
      </c>
      <c r="N343" s="73">
        <f t="shared" si="534"/>
        <v>0</v>
      </c>
      <c r="O343" s="73">
        <f t="shared" si="534"/>
        <v>0</v>
      </c>
      <c r="P343" s="73">
        <f t="shared" si="534"/>
        <v>0</v>
      </c>
      <c r="Q343" s="73">
        <f t="shared" si="534"/>
        <v>0</v>
      </c>
      <c r="R343" s="73">
        <f t="shared" si="534"/>
        <v>0</v>
      </c>
      <c r="S343" s="73">
        <f t="shared" si="534"/>
        <v>50</v>
      </c>
      <c r="T343" s="73">
        <f t="shared" si="534"/>
        <v>0</v>
      </c>
      <c r="U343" s="73">
        <f t="shared" si="534"/>
        <v>0</v>
      </c>
      <c r="V343" s="73">
        <f t="shared" si="534"/>
        <v>0</v>
      </c>
      <c r="W343" s="73">
        <f t="shared" si="534"/>
        <v>0</v>
      </c>
      <c r="X343" s="73">
        <f t="shared" si="534"/>
        <v>0</v>
      </c>
      <c r="Y343" s="71"/>
    </row>
    <row r="344" spans="1:25" s="79" customFormat="1" ht="74.25" customHeight="1">
      <c r="A344" s="76"/>
      <c r="B344" s="77" t="s">
        <v>191</v>
      </c>
      <c r="C344" s="78" t="s">
        <v>192</v>
      </c>
      <c r="D344" s="59">
        <f>SUM(D345:D346)</f>
        <v>50</v>
      </c>
      <c r="E344" s="59">
        <f t="shared" ref="E344:X344" si="535">SUM(E345:E346)</f>
        <v>0</v>
      </c>
      <c r="F344" s="60">
        <f t="shared" si="535"/>
        <v>0</v>
      </c>
      <c r="G344" s="59">
        <f t="shared" si="535"/>
        <v>0</v>
      </c>
      <c r="H344" s="59">
        <f t="shared" si="535"/>
        <v>0</v>
      </c>
      <c r="I344" s="59">
        <f t="shared" si="535"/>
        <v>0</v>
      </c>
      <c r="J344" s="59">
        <f t="shared" si="535"/>
        <v>0</v>
      </c>
      <c r="K344" s="59">
        <f t="shared" si="535"/>
        <v>0</v>
      </c>
      <c r="L344" s="59">
        <f t="shared" si="535"/>
        <v>0</v>
      </c>
      <c r="M344" s="59">
        <f t="shared" si="535"/>
        <v>0</v>
      </c>
      <c r="N344" s="59">
        <f t="shared" si="535"/>
        <v>0</v>
      </c>
      <c r="O344" s="59">
        <f t="shared" si="535"/>
        <v>0</v>
      </c>
      <c r="P344" s="59">
        <f t="shared" si="535"/>
        <v>0</v>
      </c>
      <c r="Q344" s="59">
        <f t="shared" si="535"/>
        <v>0</v>
      </c>
      <c r="R344" s="59">
        <f t="shared" si="535"/>
        <v>0</v>
      </c>
      <c r="S344" s="59">
        <f t="shared" si="535"/>
        <v>50</v>
      </c>
      <c r="T344" s="59">
        <f t="shared" si="535"/>
        <v>0</v>
      </c>
      <c r="U344" s="59">
        <f t="shared" si="535"/>
        <v>0</v>
      </c>
      <c r="V344" s="59">
        <f t="shared" si="535"/>
        <v>0</v>
      </c>
      <c r="W344" s="59">
        <f t="shared" si="535"/>
        <v>0</v>
      </c>
      <c r="X344" s="59">
        <f t="shared" si="535"/>
        <v>0</v>
      </c>
      <c r="Y344" s="76"/>
    </row>
    <row r="345" spans="1:25" s="3" customFormat="1" ht="60.75" customHeight="1">
      <c r="A345" s="80"/>
      <c r="B345" s="42" t="s">
        <v>234</v>
      </c>
      <c r="C345" s="81"/>
      <c r="D345" s="43">
        <f t="shared" ref="D345:D346" si="536">E345+J345+N345+O345+SUM(R345:V345)</f>
        <v>50</v>
      </c>
      <c r="E345" s="44">
        <f t="shared" ref="E345:E346" si="537">SUM(F345:I345)</f>
        <v>0</v>
      </c>
      <c r="F345" s="47"/>
      <c r="G345" s="48"/>
      <c r="H345" s="48"/>
      <c r="I345" s="48"/>
      <c r="J345" s="44">
        <f t="shared" ref="J345:J346" si="538">SUM(K345:M345)</f>
        <v>0</v>
      </c>
      <c r="K345" s="48"/>
      <c r="L345" s="48"/>
      <c r="M345" s="48"/>
      <c r="N345" s="48"/>
      <c r="O345" s="44">
        <f t="shared" ref="O345:O346" si="539">SUM(P345:Q345)</f>
        <v>0</v>
      </c>
      <c r="P345" s="48"/>
      <c r="Q345" s="48"/>
      <c r="R345" s="48"/>
      <c r="S345" s="48">
        <v>50</v>
      </c>
      <c r="T345" s="48"/>
      <c r="U345" s="48"/>
      <c r="V345" s="44">
        <f t="shared" ref="V345:V346" si="540">SUM(W345:X345)</f>
        <v>0</v>
      </c>
      <c r="W345" s="48"/>
      <c r="X345" s="48"/>
      <c r="Y345" s="42" t="s">
        <v>292</v>
      </c>
    </row>
    <row r="346" spans="1:25" s="3" customFormat="1" ht="15.75" hidden="1">
      <c r="A346" s="80"/>
      <c r="B346" s="42"/>
      <c r="C346" s="81"/>
      <c r="D346" s="43">
        <f t="shared" si="536"/>
        <v>0</v>
      </c>
      <c r="E346" s="44">
        <f t="shared" si="537"/>
        <v>0</v>
      </c>
      <c r="F346" s="47"/>
      <c r="G346" s="48"/>
      <c r="H346" s="48"/>
      <c r="I346" s="48"/>
      <c r="J346" s="44">
        <f t="shared" si="538"/>
        <v>0</v>
      </c>
      <c r="K346" s="48"/>
      <c r="L346" s="48"/>
      <c r="M346" s="48"/>
      <c r="N346" s="48"/>
      <c r="O346" s="44">
        <f t="shared" si="539"/>
        <v>0</v>
      </c>
      <c r="P346" s="48"/>
      <c r="Q346" s="48"/>
      <c r="R346" s="48"/>
      <c r="S346" s="48"/>
      <c r="T346" s="48"/>
      <c r="U346" s="48"/>
      <c r="V346" s="44">
        <f t="shared" si="540"/>
        <v>0</v>
      </c>
      <c r="W346" s="48"/>
      <c r="X346" s="48"/>
      <c r="Y346" s="80"/>
    </row>
    <row r="347" spans="1:25" s="32" customFormat="1" ht="21.75" customHeight="1">
      <c r="A347" s="31" t="s">
        <v>293</v>
      </c>
      <c r="B347" s="31" t="s">
        <v>294</v>
      </c>
      <c r="C347" s="28"/>
      <c r="D347" s="29">
        <f>D348</f>
        <v>386</v>
      </c>
      <c r="E347" s="29">
        <f t="shared" ref="E347:X349" si="541">E348</f>
        <v>0</v>
      </c>
      <c r="F347" s="30">
        <f t="shared" si="541"/>
        <v>0</v>
      </c>
      <c r="G347" s="29">
        <f t="shared" si="541"/>
        <v>0</v>
      </c>
      <c r="H347" s="29">
        <f t="shared" si="541"/>
        <v>0</v>
      </c>
      <c r="I347" s="29">
        <f t="shared" si="541"/>
        <v>0</v>
      </c>
      <c r="J347" s="29">
        <f t="shared" si="541"/>
        <v>0</v>
      </c>
      <c r="K347" s="29">
        <f t="shared" si="541"/>
        <v>0</v>
      </c>
      <c r="L347" s="29">
        <f t="shared" si="541"/>
        <v>0</v>
      </c>
      <c r="M347" s="29">
        <f t="shared" si="541"/>
        <v>0</v>
      </c>
      <c r="N347" s="29">
        <f t="shared" si="541"/>
        <v>0</v>
      </c>
      <c r="O347" s="29">
        <f t="shared" si="541"/>
        <v>0</v>
      </c>
      <c r="P347" s="29">
        <f t="shared" si="541"/>
        <v>0</v>
      </c>
      <c r="Q347" s="29">
        <f t="shared" si="541"/>
        <v>0</v>
      </c>
      <c r="R347" s="29">
        <f t="shared" si="541"/>
        <v>0</v>
      </c>
      <c r="S347" s="29">
        <f t="shared" si="541"/>
        <v>0</v>
      </c>
      <c r="T347" s="29">
        <f t="shared" si="541"/>
        <v>0</v>
      </c>
      <c r="U347" s="29">
        <f t="shared" si="541"/>
        <v>0</v>
      </c>
      <c r="V347" s="29">
        <f t="shared" si="541"/>
        <v>386</v>
      </c>
      <c r="W347" s="29">
        <f t="shared" si="541"/>
        <v>386</v>
      </c>
      <c r="X347" s="29">
        <f t="shared" si="541"/>
        <v>0</v>
      </c>
      <c r="Y347" s="31"/>
    </row>
    <row r="348" spans="1:25" s="75" customFormat="1" ht="24" customHeight="1">
      <c r="A348" s="71"/>
      <c r="B348" s="71" t="s">
        <v>223</v>
      </c>
      <c r="C348" s="72" t="s">
        <v>176</v>
      </c>
      <c r="D348" s="73">
        <f>D349</f>
        <v>386</v>
      </c>
      <c r="E348" s="73">
        <f t="shared" si="541"/>
        <v>0</v>
      </c>
      <c r="F348" s="74">
        <f t="shared" si="541"/>
        <v>0</v>
      </c>
      <c r="G348" s="73">
        <f t="shared" si="541"/>
        <v>0</v>
      </c>
      <c r="H348" s="73">
        <f t="shared" si="541"/>
        <v>0</v>
      </c>
      <c r="I348" s="73">
        <f t="shared" si="541"/>
        <v>0</v>
      </c>
      <c r="J348" s="73">
        <f t="shared" si="541"/>
        <v>0</v>
      </c>
      <c r="K348" s="73">
        <f t="shared" si="541"/>
        <v>0</v>
      </c>
      <c r="L348" s="73">
        <f t="shared" si="541"/>
        <v>0</v>
      </c>
      <c r="M348" s="73">
        <f t="shared" si="541"/>
        <v>0</v>
      </c>
      <c r="N348" s="73">
        <f t="shared" si="541"/>
        <v>0</v>
      </c>
      <c r="O348" s="73">
        <f t="shared" si="541"/>
        <v>0</v>
      </c>
      <c r="P348" s="73">
        <f t="shared" si="541"/>
        <v>0</v>
      </c>
      <c r="Q348" s="73">
        <f t="shared" si="541"/>
        <v>0</v>
      </c>
      <c r="R348" s="73">
        <f t="shared" si="541"/>
        <v>0</v>
      </c>
      <c r="S348" s="73">
        <f t="shared" si="541"/>
        <v>0</v>
      </c>
      <c r="T348" s="73">
        <f t="shared" si="541"/>
        <v>0</v>
      </c>
      <c r="U348" s="73">
        <f t="shared" si="541"/>
        <v>0</v>
      </c>
      <c r="V348" s="73">
        <f t="shared" si="541"/>
        <v>386</v>
      </c>
      <c r="W348" s="73">
        <f t="shared" si="541"/>
        <v>386</v>
      </c>
      <c r="X348" s="73">
        <f t="shared" si="541"/>
        <v>0</v>
      </c>
      <c r="Y348" s="71"/>
    </row>
    <row r="349" spans="1:25" s="79" customFormat="1" ht="78" customHeight="1">
      <c r="A349" s="76"/>
      <c r="B349" s="77" t="s">
        <v>191</v>
      </c>
      <c r="C349" s="78" t="s">
        <v>192</v>
      </c>
      <c r="D349" s="59">
        <f>D350</f>
        <v>386</v>
      </c>
      <c r="E349" s="59">
        <f t="shared" si="541"/>
        <v>0</v>
      </c>
      <c r="F349" s="60">
        <f t="shared" si="541"/>
        <v>0</v>
      </c>
      <c r="G349" s="59">
        <f t="shared" si="541"/>
        <v>0</v>
      </c>
      <c r="H349" s="59">
        <f t="shared" si="541"/>
        <v>0</v>
      </c>
      <c r="I349" s="59">
        <f t="shared" si="541"/>
        <v>0</v>
      </c>
      <c r="J349" s="59">
        <f t="shared" si="541"/>
        <v>0</v>
      </c>
      <c r="K349" s="59">
        <f t="shared" si="541"/>
        <v>0</v>
      </c>
      <c r="L349" s="59">
        <f t="shared" si="541"/>
        <v>0</v>
      </c>
      <c r="M349" s="59">
        <f t="shared" si="541"/>
        <v>0</v>
      </c>
      <c r="N349" s="59">
        <f t="shared" si="541"/>
        <v>0</v>
      </c>
      <c r="O349" s="59">
        <f t="shared" si="541"/>
        <v>0</v>
      </c>
      <c r="P349" s="59">
        <f t="shared" si="541"/>
        <v>0</v>
      </c>
      <c r="Q349" s="59">
        <f t="shared" si="541"/>
        <v>0</v>
      </c>
      <c r="R349" s="59">
        <f t="shared" si="541"/>
        <v>0</v>
      </c>
      <c r="S349" s="59">
        <f t="shared" si="541"/>
        <v>0</v>
      </c>
      <c r="T349" s="59">
        <f t="shared" si="541"/>
        <v>0</v>
      </c>
      <c r="U349" s="59">
        <f t="shared" si="541"/>
        <v>0</v>
      </c>
      <c r="V349" s="59">
        <f t="shared" si="541"/>
        <v>386</v>
      </c>
      <c r="W349" s="59">
        <f t="shared" si="541"/>
        <v>386</v>
      </c>
      <c r="X349" s="59">
        <f t="shared" si="541"/>
        <v>0</v>
      </c>
      <c r="Y349" s="76"/>
    </row>
    <row r="350" spans="1:25" s="99" customFormat="1" ht="31.5">
      <c r="A350" s="97"/>
      <c r="B350" s="42" t="s">
        <v>234</v>
      </c>
      <c r="C350" s="98"/>
      <c r="D350" s="43">
        <f>E350+J350+N350+O350+SUM(R350:V350)</f>
        <v>386</v>
      </c>
      <c r="E350" s="44">
        <f>SUM(F350:I350)</f>
        <v>0</v>
      </c>
      <c r="F350" s="47"/>
      <c r="G350" s="48"/>
      <c r="H350" s="48"/>
      <c r="I350" s="48"/>
      <c r="J350" s="44">
        <f t="shared" ref="J350" si="542">SUM(K350:M350)</f>
        <v>0</v>
      </c>
      <c r="K350" s="48"/>
      <c r="L350" s="48"/>
      <c r="M350" s="48"/>
      <c r="N350" s="48"/>
      <c r="O350" s="44">
        <f t="shared" ref="O350" si="543">SUM(P350:Q350)</f>
        <v>0</v>
      </c>
      <c r="P350" s="48"/>
      <c r="Q350" s="48"/>
      <c r="R350" s="48"/>
      <c r="S350" s="48"/>
      <c r="T350" s="48"/>
      <c r="U350" s="48"/>
      <c r="V350" s="44">
        <f t="shared" ref="V350" si="544">SUM(W350:X350)</f>
        <v>386</v>
      </c>
      <c r="W350" s="48">
        <v>386</v>
      </c>
      <c r="X350" s="48"/>
      <c r="Y350" s="97"/>
    </row>
    <row r="351" spans="1:25" s="32" customFormat="1" ht="21" customHeight="1">
      <c r="A351" s="31" t="s">
        <v>295</v>
      </c>
      <c r="B351" s="31" t="s">
        <v>296</v>
      </c>
      <c r="C351" s="28"/>
      <c r="D351" s="29">
        <f>D352</f>
        <v>28</v>
      </c>
      <c r="E351" s="29">
        <f t="shared" ref="E351:X353" si="545">E352</f>
        <v>0</v>
      </c>
      <c r="F351" s="30">
        <f t="shared" si="545"/>
        <v>0</v>
      </c>
      <c r="G351" s="29">
        <f t="shared" si="545"/>
        <v>0</v>
      </c>
      <c r="H351" s="29">
        <f t="shared" si="545"/>
        <v>0</v>
      </c>
      <c r="I351" s="29">
        <f t="shared" si="545"/>
        <v>0</v>
      </c>
      <c r="J351" s="29">
        <f t="shared" si="545"/>
        <v>0</v>
      </c>
      <c r="K351" s="29">
        <f t="shared" si="545"/>
        <v>0</v>
      </c>
      <c r="L351" s="29">
        <f t="shared" si="545"/>
        <v>0</v>
      </c>
      <c r="M351" s="29">
        <f t="shared" si="545"/>
        <v>0</v>
      </c>
      <c r="N351" s="29">
        <f t="shared" si="545"/>
        <v>0</v>
      </c>
      <c r="O351" s="29">
        <f t="shared" si="545"/>
        <v>0</v>
      </c>
      <c r="P351" s="29">
        <f t="shared" si="545"/>
        <v>0</v>
      </c>
      <c r="Q351" s="29">
        <f t="shared" si="545"/>
        <v>0</v>
      </c>
      <c r="R351" s="29">
        <f t="shared" si="545"/>
        <v>0</v>
      </c>
      <c r="S351" s="29">
        <f t="shared" si="545"/>
        <v>0</v>
      </c>
      <c r="T351" s="29">
        <f t="shared" si="545"/>
        <v>0</v>
      </c>
      <c r="U351" s="29">
        <f t="shared" si="545"/>
        <v>0</v>
      </c>
      <c r="V351" s="29">
        <f t="shared" si="545"/>
        <v>28</v>
      </c>
      <c r="W351" s="29">
        <f t="shared" si="545"/>
        <v>0</v>
      </c>
      <c r="X351" s="29">
        <f t="shared" si="545"/>
        <v>28</v>
      </c>
      <c r="Y351" s="31"/>
    </row>
    <row r="352" spans="1:25" s="75" customFormat="1" ht="24" customHeight="1">
      <c r="A352" s="71"/>
      <c r="B352" s="71" t="s">
        <v>223</v>
      </c>
      <c r="C352" s="72" t="s">
        <v>176</v>
      </c>
      <c r="D352" s="73">
        <f>D353</f>
        <v>28</v>
      </c>
      <c r="E352" s="73">
        <f t="shared" si="545"/>
        <v>0</v>
      </c>
      <c r="F352" s="74">
        <f t="shared" si="545"/>
        <v>0</v>
      </c>
      <c r="G352" s="73">
        <f t="shared" si="545"/>
        <v>0</v>
      </c>
      <c r="H352" s="73">
        <f t="shared" si="545"/>
        <v>0</v>
      </c>
      <c r="I352" s="73">
        <f t="shared" si="545"/>
        <v>0</v>
      </c>
      <c r="J352" s="73">
        <f t="shared" si="545"/>
        <v>0</v>
      </c>
      <c r="K352" s="73">
        <f t="shared" si="545"/>
        <v>0</v>
      </c>
      <c r="L352" s="73">
        <f t="shared" si="545"/>
        <v>0</v>
      </c>
      <c r="M352" s="73">
        <f t="shared" si="545"/>
        <v>0</v>
      </c>
      <c r="N352" s="73">
        <f t="shared" si="545"/>
        <v>0</v>
      </c>
      <c r="O352" s="73">
        <f t="shared" si="545"/>
        <v>0</v>
      </c>
      <c r="P352" s="73">
        <f t="shared" si="545"/>
        <v>0</v>
      </c>
      <c r="Q352" s="73">
        <f t="shared" si="545"/>
        <v>0</v>
      </c>
      <c r="R352" s="73">
        <f t="shared" si="545"/>
        <v>0</v>
      </c>
      <c r="S352" s="73">
        <f t="shared" si="545"/>
        <v>0</v>
      </c>
      <c r="T352" s="73">
        <f t="shared" si="545"/>
        <v>0</v>
      </c>
      <c r="U352" s="73">
        <f t="shared" si="545"/>
        <v>0</v>
      </c>
      <c r="V352" s="73">
        <f t="shared" si="545"/>
        <v>28</v>
      </c>
      <c r="W352" s="73">
        <f t="shared" si="545"/>
        <v>0</v>
      </c>
      <c r="X352" s="73">
        <f t="shared" si="545"/>
        <v>28</v>
      </c>
      <c r="Y352" s="71"/>
    </row>
    <row r="353" spans="1:25" s="79" customFormat="1" ht="78.75" customHeight="1">
      <c r="A353" s="76"/>
      <c r="B353" s="77" t="s">
        <v>191</v>
      </c>
      <c r="C353" s="78" t="s">
        <v>192</v>
      </c>
      <c r="D353" s="59">
        <f>D354</f>
        <v>28</v>
      </c>
      <c r="E353" s="59">
        <f t="shared" si="545"/>
        <v>0</v>
      </c>
      <c r="F353" s="60">
        <f t="shared" si="545"/>
        <v>0</v>
      </c>
      <c r="G353" s="59">
        <f t="shared" si="545"/>
        <v>0</v>
      </c>
      <c r="H353" s="59">
        <f t="shared" si="545"/>
        <v>0</v>
      </c>
      <c r="I353" s="59">
        <f t="shared" si="545"/>
        <v>0</v>
      </c>
      <c r="J353" s="59">
        <f t="shared" si="545"/>
        <v>0</v>
      </c>
      <c r="K353" s="59">
        <f t="shared" si="545"/>
        <v>0</v>
      </c>
      <c r="L353" s="59">
        <f t="shared" si="545"/>
        <v>0</v>
      </c>
      <c r="M353" s="59">
        <f t="shared" si="545"/>
        <v>0</v>
      </c>
      <c r="N353" s="59">
        <f t="shared" si="545"/>
        <v>0</v>
      </c>
      <c r="O353" s="59">
        <f t="shared" si="545"/>
        <v>0</v>
      </c>
      <c r="P353" s="59">
        <f t="shared" si="545"/>
        <v>0</v>
      </c>
      <c r="Q353" s="59">
        <f t="shared" si="545"/>
        <v>0</v>
      </c>
      <c r="R353" s="59">
        <f t="shared" si="545"/>
        <v>0</v>
      </c>
      <c r="S353" s="59">
        <f t="shared" si="545"/>
        <v>0</v>
      </c>
      <c r="T353" s="59">
        <f t="shared" si="545"/>
        <v>0</v>
      </c>
      <c r="U353" s="59">
        <f t="shared" si="545"/>
        <v>0</v>
      </c>
      <c r="V353" s="59">
        <f t="shared" si="545"/>
        <v>28</v>
      </c>
      <c r="W353" s="59">
        <f t="shared" si="545"/>
        <v>0</v>
      </c>
      <c r="X353" s="59">
        <f t="shared" si="545"/>
        <v>28</v>
      </c>
      <c r="Y353" s="76"/>
    </row>
    <row r="354" spans="1:25" s="99" customFormat="1" ht="31.5">
      <c r="A354" s="97"/>
      <c r="B354" s="42" t="s">
        <v>234</v>
      </c>
      <c r="C354" s="98"/>
      <c r="D354" s="43">
        <f>E354+J354+N354+O354+SUM(R354:V354)</f>
        <v>28</v>
      </c>
      <c r="E354" s="44">
        <f>SUM(F354:I354)</f>
        <v>0</v>
      </c>
      <c r="F354" s="47"/>
      <c r="G354" s="48"/>
      <c r="H354" s="48"/>
      <c r="I354" s="48"/>
      <c r="J354" s="44">
        <f t="shared" ref="J354" si="546">SUM(K354:M354)</f>
        <v>0</v>
      </c>
      <c r="K354" s="48"/>
      <c r="L354" s="48"/>
      <c r="M354" s="48"/>
      <c r="N354" s="48"/>
      <c r="O354" s="44">
        <f t="shared" ref="O354" si="547">SUM(P354:Q354)</f>
        <v>0</v>
      </c>
      <c r="P354" s="48"/>
      <c r="Q354" s="48"/>
      <c r="R354" s="48"/>
      <c r="S354" s="48"/>
      <c r="T354" s="48"/>
      <c r="U354" s="48"/>
      <c r="V354" s="44">
        <f t="shared" ref="V354" si="548">SUM(W354:X354)</f>
        <v>28</v>
      </c>
      <c r="W354" s="48"/>
      <c r="X354" s="48">
        <v>28</v>
      </c>
      <c r="Y354" s="97"/>
    </row>
    <row r="355" spans="1:25" s="32" customFormat="1" ht="26.25" customHeight="1">
      <c r="A355" s="31" t="s">
        <v>297</v>
      </c>
      <c r="B355" s="31" t="s">
        <v>298</v>
      </c>
      <c r="C355" s="28"/>
      <c r="D355" s="29">
        <f>D356</f>
        <v>10</v>
      </c>
      <c r="E355" s="29">
        <f t="shared" ref="E355:X356" si="549">E356</f>
        <v>10</v>
      </c>
      <c r="F355" s="30">
        <f t="shared" si="549"/>
        <v>10</v>
      </c>
      <c r="G355" s="29">
        <f t="shared" si="549"/>
        <v>0</v>
      </c>
      <c r="H355" s="29">
        <f t="shared" si="549"/>
        <v>0</v>
      </c>
      <c r="I355" s="29">
        <f t="shared" si="549"/>
        <v>0</v>
      </c>
      <c r="J355" s="29">
        <f t="shared" si="549"/>
        <v>0</v>
      </c>
      <c r="K355" s="29">
        <f t="shared" si="549"/>
        <v>0</v>
      </c>
      <c r="L355" s="29">
        <f t="shared" si="549"/>
        <v>0</v>
      </c>
      <c r="M355" s="29">
        <f t="shared" si="549"/>
        <v>0</v>
      </c>
      <c r="N355" s="29">
        <f t="shared" si="549"/>
        <v>0</v>
      </c>
      <c r="O355" s="29">
        <f t="shared" si="549"/>
        <v>0</v>
      </c>
      <c r="P355" s="29">
        <f t="shared" si="549"/>
        <v>0</v>
      </c>
      <c r="Q355" s="29">
        <f t="shared" si="549"/>
        <v>0</v>
      </c>
      <c r="R355" s="29">
        <f t="shared" si="549"/>
        <v>0</v>
      </c>
      <c r="S355" s="29">
        <f t="shared" si="549"/>
        <v>0</v>
      </c>
      <c r="T355" s="29">
        <f t="shared" si="549"/>
        <v>0</v>
      </c>
      <c r="U355" s="29">
        <f t="shared" si="549"/>
        <v>0</v>
      </c>
      <c r="V355" s="29">
        <f t="shared" si="549"/>
        <v>0</v>
      </c>
      <c r="W355" s="29">
        <f t="shared" si="549"/>
        <v>0</v>
      </c>
      <c r="X355" s="29">
        <f t="shared" si="549"/>
        <v>0</v>
      </c>
      <c r="Y355" s="31"/>
    </row>
    <row r="356" spans="1:25" s="75" customFormat="1" ht="24.75" customHeight="1">
      <c r="A356" s="71"/>
      <c r="B356" s="71" t="s">
        <v>223</v>
      </c>
      <c r="C356" s="72" t="s">
        <v>176</v>
      </c>
      <c r="D356" s="73">
        <f>D357</f>
        <v>10</v>
      </c>
      <c r="E356" s="73">
        <f t="shared" si="549"/>
        <v>10</v>
      </c>
      <c r="F356" s="74">
        <f t="shared" si="549"/>
        <v>10</v>
      </c>
      <c r="G356" s="73">
        <f t="shared" si="549"/>
        <v>0</v>
      </c>
      <c r="H356" s="73">
        <f t="shared" si="549"/>
        <v>0</v>
      </c>
      <c r="I356" s="73">
        <f t="shared" si="549"/>
        <v>0</v>
      </c>
      <c r="J356" s="73">
        <f t="shared" si="549"/>
        <v>0</v>
      </c>
      <c r="K356" s="73">
        <f t="shared" si="549"/>
        <v>0</v>
      </c>
      <c r="L356" s="73">
        <f t="shared" si="549"/>
        <v>0</v>
      </c>
      <c r="M356" s="73">
        <f t="shared" si="549"/>
        <v>0</v>
      </c>
      <c r="N356" s="73">
        <f t="shared" si="549"/>
        <v>0</v>
      </c>
      <c r="O356" s="73">
        <f t="shared" si="549"/>
        <v>0</v>
      </c>
      <c r="P356" s="73">
        <f t="shared" si="549"/>
        <v>0</v>
      </c>
      <c r="Q356" s="73">
        <f t="shared" si="549"/>
        <v>0</v>
      </c>
      <c r="R356" s="73">
        <f t="shared" si="549"/>
        <v>0</v>
      </c>
      <c r="S356" s="73">
        <f t="shared" si="549"/>
        <v>0</v>
      </c>
      <c r="T356" s="73">
        <f t="shared" si="549"/>
        <v>0</v>
      </c>
      <c r="U356" s="73">
        <f t="shared" si="549"/>
        <v>0</v>
      </c>
      <c r="V356" s="73">
        <f t="shared" si="549"/>
        <v>0</v>
      </c>
      <c r="W356" s="73">
        <f t="shared" si="549"/>
        <v>0</v>
      </c>
      <c r="X356" s="73">
        <f t="shared" si="549"/>
        <v>0</v>
      </c>
      <c r="Y356" s="71"/>
    </row>
    <row r="357" spans="1:25" s="79" customFormat="1" ht="82.5" customHeight="1">
      <c r="A357" s="76"/>
      <c r="B357" s="77" t="s">
        <v>191</v>
      </c>
      <c r="C357" s="78" t="s">
        <v>192</v>
      </c>
      <c r="D357" s="59">
        <f>SUM(D358:D359)</f>
        <v>10</v>
      </c>
      <c r="E357" s="59">
        <f t="shared" ref="E357:X357" si="550">SUM(E358:E359)</f>
        <v>10</v>
      </c>
      <c r="F357" s="60">
        <f t="shared" si="550"/>
        <v>10</v>
      </c>
      <c r="G357" s="59">
        <f t="shared" si="550"/>
        <v>0</v>
      </c>
      <c r="H357" s="59">
        <f t="shared" si="550"/>
        <v>0</v>
      </c>
      <c r="I357" s="59">
        <f t="shared" si="550"/>
        <v>0</v>
      </c>
      <c r="J357" s="59">
        <f t="shared" si="550"/>
        <v>0</v>
      </c>
      <c r="K357" s="59">
        <f t="shared" si="550"/>
        <v>0</v>
      </c>
      <c r="L357" s="59">
        <f t="shared" si="550"/>
        <v>0</v>
      </c>
      <c r="M357" s="59">
        <f t="shared" si="550"/>
        <v>0</v>
      </c>
      <c r="N357" s="59">
        <f t="shared" si="550"/>
        <v>0</v>
      </c>
      <c r="O357" s="59">
        <f t="shared" si="550"/>
        <v>0</v>
      </c>
      <c r="P357" s="59">
        <f t="shared" si="550"/>
        <v>0</v>
      </c>
      <c r="Q357" s="59">
        <f t="shared" si="550"/>
        <v>0</v>
      </c>
      <c r="R357" s="59">
        <f t="shared" si="550"/>
        <v>0</v>
      </c>
      <c r="S357" s="59">
        <f t="shared" si="550"/>
        <v>0</v>
      </c>
      <c r="T357" s="59">
        <f t="shared" si="550"/>
        <v>0</v>
      </c>
      <c r="U357" s="59">
        <f t="shared" si="550"/>
        <v>0</v>
      </c>
      <c r="V357" s="59">
        <f t="shared" si="550"/>
        <v>0</v>
      </c>
      <c r="W357" s="59">
        <f t="shared" si="550"/>
        <v>0</v>
      </c>
      <c r="X357" s="59">
        <f t="shared" si="550"/>
        <v>0</v>
      </c>
      <c r="Y357" s="76"/>
    </row>
    <row r="358" spans="1:25" s="3" customFormat="1" ht="49.5" customHeight="1">
      <c r="A358" s="80"/>
      <c r="B358" s="49" t="s">
        <v>237</v>
      </c>
      <c r="C358" s="81"/>
      <c r="D358" s="43">
        <f>E358+J358+N358+O358+SUM(R358:V358)</f>
        <v>10</v>
      </c>
      <c r="E358" s="44">
        <f t="shared" ref="E358:E359" si="551">SUM(F358:I358)</f>
        <v>10</v>
      </c>
      <c r="F358" s="47">
        <v>10</v>
      </c>
      <c r="G358" s="48"/>
      <c r="H358" s="48"/>
      <c r="I358" s="48"/>
      <c r="J358" s="44">
        <f t="shared" ref="J358:J359" si="552">SUM(K358:M358)</f>
        <v>0</v>
      </c>
      <c r="K358" s="48"/>
      <c r="L358" s="48"/>
      <c r="M358" s="48"/>
      <c r="N358" s="48"/>
      <c r="O358" s="44">
        <f t="shared" ref="O358:O359" si="553">SUM(P358:Q358)</f>
        <v>0</v>
      </c>
      <c r="P358" s="48"/>
      <c r="Q358" s="48"/>
      <c r="R358" s="48"/>
      <c r="S358" s="48"/>
      <c r="T358" s="48"/>
      <c r="U358" s="48"/>
      <c r="V358" s="44">
        <f t="shared" ref="V358:V359" si="554">SUM(W358:X358)</f>
        <v>0</v>
      </c>
      <c r="W358" s="48"/>
      <c r="X358" s="48"/>
      <c r="Y358" s="49"/>
    </row>
    <row r="359" spans="1:25" s="3" customFormat="1" ht="15.75" hidden="1">
      <c r="A359" s="80"/>
      <c r="B359" s="42"/>
      <c r="C359" s="81"/>
      <c r="D359" s="43">
        <f t="shared" ref="D359" si="555">E359+J359+N359+O359+SUM(R359:V359)</f>
        <v>0</v>
      </c>
      <c r="E359" s="44">
        <f t="shared" si="551"/>
        <v>0</v>
      </c>
      <c r="F359" s="47"/>
      <c r="G359" s="48"/>
      <c r="H359" s="48"/>
      <c r="I359" s="48"/>
      <c r="J359" s="44">
        <f t="shared" si="552"/>
        <v>0</v>
      </c>
      <c r="K359" s="48"/>
      <c r="L359" s="48"/>
      <c r="M359" s="48"/>
      <c r="N359" s="48"/>
      <c r="O359" s="44">
        <f t="shared" si="553"/>
        <v>0</v>
      </c>
      <c r="P359" s="48"/>
      <c r="Q359" s="48"/>
      <c r="R359" s="48"/>
      <c r="S359" s="48"/>
      <c r="T359" s="48"/>
      <c r="U359" s="48"/>
      <c r="V359" s="44">
        <f t="shared" si="554"/>
        <v>0</v>
      </c>
      <c r="W359" s="48"/>
      <c r="X359" s="48"/>
      <c r="Y359" s="42"/>
    </row>
    <row r="360" spans="1:25" s="3" customFormat="1">
      <c r="A360" s="108"/>
      <c r="B360" s="108"/>
      <c r="C360" s="109"/>
      <c r="D360" s="110"/>
      <c r="E360" s="110"/>
      <c r="F360" s="111"/>
      <c r="G360" s="110"/>
      <c r="H360" s="110"/>
      <c r="I360" s="110"/>
      <c r="J360" s="110"/>
      <c r="K360" s="110"/>
      <c r="L360" s="110"/>
      <c r="M360" s="110"/>
      <c r="N360" s="110"/>
      <c r="O360" s="110"/>
      <c r="P360" s="110"/>
      <c r="Q360" s="110"/>
      <c r="R360" s="110"/>
      <c r="S360" s="110"/>
      <c r="T360" s="110"/>
      <c r="U360" s="110"/>
      <c r="V360" s="110"/>
      <c r="W360" s="110"/>
      <c r="X360" s="110"/>
      <c r="Y360" s="108"/>
    </row>
  </sheetData>
  <mergeCells count="28">
    <mergeCell ref="D1:Q1"/>
    <mergeCell ref="D2:Q2"/>
    <mergeCell ref="D3:Q3"/>
    <mergeCell ref="A5:A6"/>
    <mergeCell ref="B5:B6"/>
    <mergeCell ref="C5:C6"/>
    <mergeCell ref="D5:D6"/>
    <mergeCell ref="E5:E6"/>
    <mergeCell ref="F5:I5"/>
    <mergeCell ref="J5:J6"/>
    <mergeCell ref="Y5:Y6"/>
    <mergeCell ref="B55:C55"/>
    <mergeCell ref="K5:M5"/>
    <mergeCell ref="N5:N6"/>
    <mergeCell ref="O5:O6"/>
    <mergeCell ref="P5:Q5"/>
    <mergeCell ref="R5:R6"/>
    <mergeCell ref="S5:S6"/>
    <mergeCell ref="B208:C208"/>
    <mergeCell ref="T5:T6"/>
    <mergeCell ref="U5:U6"/>
    <mergeCell ref="V5:V6"/>
    <mergeCell ref="W5:X5"/>
    <mergeCell ref="B82:C82"/>
    <mergeCell ref="B97:C97"/>
    <mergeCell ref="B112:C112"/>
    <mergeCell ref="B134:C134"/>
    <mergeCell ref="B144:C14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SNN (2)</vt:lpstr>
      <vt:lpstr>SNN</vt:lpstr>
      <vt:lpstr>Bieu 3</vt:lpstr>
      <vt:lpstr>IV.2</vt:lpstr>
      <vt:lpstr>'Bieu 3'!Print_Area</vt:lpstr>
      <vt:lpstr>SNN!Print_Area</vt:lpstr>
      <vt:lpstr>'Bieu 3'!Print_Titles</vt:lpstr>
      <vt:lpstr>SNN!Print_Titles</vt:lpstr>
      <vt:lpstr>'SNN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vuthihang</dc:creator>
  <cp:lastModifiedBy>Admin</cp:lastModifiedBy>
  <cp:lastPrinted>2025-02-11T02:12:52Z</cp:lastPrinted>
  <dcterms:created xsi:type="dcterms:W3CDTF">2005-12-28T07:49:32Z</dcterms:created>
  <dcterms:modified xsi:type="dcterms:W3CDTF">2025-02-19T07:19:45Z</dcterms:modified>
</cp:coreProperties>
</file>